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drawings/drawing1.xml" ContentType="application/vnd.openxmlformats-officedocument.drawing+xml"/>
  <Override PartName="/xl/comments13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omments14.xml" ContentType="application/vnd.openxmlformats-officedocument.spreadsheetml.comments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5620" yWindow="15" windowWidth="26415" windowHeight="12270" firstSheet="15" activeTab="17"/>
  </bookViews>
  <sheets>
    <sheet name="ANG" sheetId="13" r:id="rId1"/>
    <sheet name="BOT" sheetId="14" r:id="rId2"/>
    <sheet name="DRC" sheetId="15" r:id="rId3"/>
    <sheet name="LES" sheetId="16" r:id="rId4"/>
    <sheet name="MAL" sheetId="17" r:id="rId5"/>
    <sheet name="MOZ" sheetId="12" r:id="rId6"/>
    <sheet name="NAM" sheetId="18" r:id="rId7"/>
    <sheet name="SAF" sheetId="20" r:id="rId8"/>
    <sheet name="SWA" sheetId="19" r:id="rId9"/>
    <sheet name="TAN" sheetId="21" r:id="rId10"/>
    <sheet name="ZAM" sheetId="22" r:id="rId11"/>
    <sheet name="ZIM" sheetId="23" r:id="rId12"/>
    <sheet name="MSG_Demand" sheetId="8" r:id="rId13"/>
    <sheet name="AR2008_EnergyProj" sheetId="2" r:id="rId14"/>
    <sheet name="AR2008_PeakProj" sheetId="1" r:id="rId15"/>
    <sheet name="PoolPlan_EnergyProj" sheetId="5" r:id="rId16"/>
    <sheet name="AR2008_Stats" sheetId="6" r:id="rId17"/>
    <sheet name="DemandBreakdown" sheetId="24" r:id="rId18"/>
    <sheet name="For model" sheetId="26" r:id="rId19"/>
    <sheet name="PoolPlan_PeakProj" sheetId="3" r:id="rId20"/>
    <sheet name="Comparison" sheetId="7" r:id="rId21"/>
    <sheet name="SAAvgCost" sheetId="25" r:id="rId22"/>
  </sheets>
  <externalReferences>
    <externalReference r:id="rId23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1832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 concurrentCalc="0"/>
</workbook>
</file>

<file path=xl/calcChain.xml><?xml version="1.0" encoding="utf-8"?>
<calcChain xmlns="http://schemas.openxmlformats.org/spreadsheetml/2006/main">
  <c r="J56" i="26" l="1"/>
  <c r="I56" i="26"/>
  <c r="D48" i="26"/>
  <c r="D52" i="26"/>
  <c r="D56" i="26"/>
  <c r="K36" i="26"/>
  <c r="K40" i="26"/>
  <c r="K44" i="26"/>
  <c r="K48" i="26"/>
  <c r="K52" i="26"/>
  <c r="K56" i="26"/>
  <c r="D41" i="26"/>
  <c r="D45" i="26"/>
  <c r="D49" i="26"/>
  <c r="D53" i="26"/>
  <c r="D57" i="26"/>
  <c r="K37" i="26"/>
  <c r="K41" i="26"/>
  <c r="K45" i="26"/>
  <c r="K49" i="26"/>
  <c r="K53" i="26"/>
  <c r="K57" i="26"/>
  <c r="L56" i="26"/>
  <c r="M56" i="26"/>
  <c r="N56" i="26"/>
  <c r="I57" i="26"/>
  <c r="L57" i="26"/>
  <c r="M57" i="26"/>
  <c r="N57" i="26"/>
  <c r="I58" i="26"/>
  <c r="D42" i="26"/>
  <c r="D46" i="26"/>
  <c r="D50" i="26"/>
  <c r="D54" i="26"/>
  <c r="D58" i="26"/>
  <c r="K38" i="26"/>
  <c r="K42" i="26"/>
  <c r="K46" i="26"/>
  <c r="K50" i="26"/>
  <c r="K54" i="26"/>
  <c r="K58" i="26"/>
  <c r="L58" i="26"/>
  <c r="M58" i="26"/>
  <c r="N58" i="26"/>
  <c r="I59" i="26"/>
  <c r="D43" i="26"/>
  <c r="D47" i="26"/>
  <c r="D51" i="26"/>
  <c r="D55" i="26"/>
  <c r="D59" i="26"/>
  <c r="K39" i="26"/>
  <c r="K43" i="26"/>
  <c r="K47" i="26"/>
  <c r="K51" i="26"/>
  <c r="K55" i="26"/>
  <c r="K59" i="26"/>
  <c r="L59" i="26"/>
  <c r="M59" i="26"/>
  <c r="N59" i="26"/>
  <c r="J40" i="26"/>
  <c r="I40" i="26"/>
  <c r="L40" i="26"/>
  <c r="M40" i="26"/>
  <c r="N40" i="26"/>
  <c r="I41" i="26"/>
  <c r="L41" i="26"/>
  <c r="M41" i="26"/>
  <c r="N41" i="26"/>
  <c r="I42" i="26"/>
  <c r="L42" i="26"/>
  <c r="M42" i="26"/>
  <c r="N42" i="26"/>
  <c r="I43" i="26"/>
  <c r="L43" i="26"/>
  <c r="M43" i="26"/>
  <c r="N43" i="26"/>
  <c r="J44" i="26"/>
  <c r="I44" i="26"/>
  <c r="L44" i="26"/>
  <c r="M44" i="26"/>
  <c r="N44" i="26"/>
  <c r="I45" i="26"/>
  <c r="L45" i="26"/>
  <c r="M45" i="26"/>
  <c r="N45" i="26"/>
  <c r="I46" i="26"/>
  <c r="L46" i="26"/>
  <c r="M46" i="26"/>
  <c r="N46" i="26"/>
  <c r="I47" i="26"/>
  <c r="L47" i="26"/>
  <c r="M47" i="26"/>
  <c r="N47" i="26"/>
  <c r="J48" i="26"/>
  <c r="I48" i="26"/>
  <c r="L48" i="26"/>
  <c r="M48" i="26"/>
  <c r="N48" i="26"/>
  <c r="I49" i="26"/>
  <c r="L49" i="26"/>
  <c r="M49" i="26"/>
  <c r="N49" i="26"/>
  <c r="I50" i="26"/>
  <c r="L50" i="26"/>
  <c r="M50" i="26"/>
  <c r="N50" i="26"/>
  <c r="I51" i="26"/>
  <c r="L51" i="26"/>
  <c r="M51" i="26"/>
  <c r="N51" i="26"/>
  <c r="J52" i="26"/>
  <c r="I52" i="26"/>
  <c r="L52" i="26"/>
  <c r="M52" i="26"/>
  <c r="N52" i="26"/>
  <c r="I53" i="26"/>
  <c r="L53" i="26"/>
  <c r="M53" i="26"/>
  <c r="N53" i="26"/>
  <c r="I54" i="26"/>
  <c r="L54" i="26"/>
  <c r="M54" i="26"/>
  <c r="N54" i="26"/>
  <c r="I55" i="26"/>
  <c r="L55" i="26"/>
  <c r="M55" i="26"/>
  <c r="N55" i="26"/>
  <c r="C48" i="26"/>
  <c r="B48" i="26"/>
  <c r="E48" i="26"/>
  <c r="F48" i="26"/>
  <c r="G48" i="26"/>
  <c r="B49" i="26"/>
  <c r="E49" i="26"/>
  <c r="F49" i="26"/>
  <c r="G49" i="26"/>
  <c r="B50" i="26"/>
  <c r="E50" i="26"/>
  <c r="F50" i="26"/>
  <c r="G50" i="26"/>
  <c r="B51" i="26"/>
  <c r="E51" i="26"/>
  <c r="F51" i="26"/>
  <c r="G51" i="26"/>
  <c r="C52" i="26"/>
  <c r="B52" i="26"/>
  <c r="E52" i="26"/>
  <c r="F52" i="26"/>
  <c r="G52" i="26"/>
  <c r="B53" i="26"/>
  <c r="E53" i="26"/>
  <c r="F53" i="26"/>
  <c r="G53" i="26"/>
  <c r="B54" i="26"/>
  <c r="E54" i="26"/>
  <c r="F54" i="26"/>
  <c r="G54" i="26"/>
  <c r="B55" i="26"/>
  <c r="E55" i="26"/>
  <c r="F55" i="26"/>
  <c r="G55" i="26"/>
  <c r="C56" i="26"/>
  <c r="B56" i="26"/>
  <c r="E56" i="26"/>
  <c r="F56" i="26"/>
  <c r="G56" i="26"/>
  <c r="B57" i="26"/>
  <c r="E57" i="26"/>
  <c r="F57" i="26"/>
  <c r="G57" i="26"/>
  <c r="B58" i="26"/>
  <c r="E58" i="26"/>
  <c r="F58" i="26"/>
  <c r="G58" i="26"/>
  <c r="B59" i="26"/>
  <c r="E59" i="26"/>
  <c r="F59" i="26"/>
  <c r="G59" i="26"/>
  <c r="J36" i="26"/>
  <c r="I36" i="26"/>
  <c r="L36" i="26"/>
  <c r="M36" i="26"/>
  <c r="N36" i="26"/>
  <c r="I37" i="26"/>
  <c r="L37" i="26"/>
  <c r="M37" i="26"/>
  <c r="N37" i="26"/>
  <c r="I38" i="26"/>
  <c r="L38" i="26"/>
  <c r="M38" i="26"/>
  <c r="N38" i="26"/>
  <c r="I39" i="26"/>
  <c r="L39" i="26"/>
  <c r="M39" i="26"/>
  <c r="N39" i="26"/>
  <c r="C44" i="26"/>
  <c r="B44" i="26"/>
  <c r="D44" i="26"/>
  <c r="E44" i="26"/>
  <c r="F44" i="26"/>
  <c r="G44" i="26"/>
  <c r="B45" i="26"/>
  <c r="E45" i="26"/>
  <c r="F45" i="26"/>
  <c r="G45" i="26"/>
  <c r="B46" i="26"/>
  <c r="E46" i="26"/>
  <c r="F46" i="26"/>
  <c r="G46" i="26"/>
  <c r="B47" i="26"/>
  <c r="E47" i="26"/>
  <c r="F47" i="26"/>
  <c r="G47" i="26"/>
  <c r="D40" i="26"/>
  <c r="C40" i="26"/>
  <c r="B40" i="26"/>
  <c r="E40" i="26"/>
  <c r="F40" i="26"/>
  <c r="G40" i="26"/>
  <c r="B41" i="26"/>
  <c r="E41" i="26"/>
  <c r="F41" i="26"/>
  <c r="G41" i="26"/>
  <c r="B42" i="26"/>
  <c r="E42" i="26"/>
  <c r="F42" i="26"/>
  <c r="G42" i="26"/>
  <c r="B43" i="26"/>
  <c r="E43" i="26"/>
  <c r="F43" i="26"/>
  <c r="G43" i="26"/>
  <c r="C36" i="26"/>
  <c r="B36" i="26"/>
  <c r="D37" i="26"/>
  <c r="E36" i="26"/>
  <c r="F36" i="26"/>
  <c r="G36" i="26"/>
  <c r="B37" i="26"/>
  <c r="D38" i="26"/>
  <c r="D39" i="26"/>
  <c r="B39" i="26"/>
  <c r="B38" i="26"/>
  <c r="E38" i="26"/>
  <c r="F38" i="26"/>
  <c r="G38" i="26"/>
  <c r="E39" i="26"/>
  <c r="F39" i="26"/>
  <c r="G39" i="26"/>
  <c r="F37" i="26"/>
  <c r="G37" i="26"/>
  <c r="E37" i="26"/>
  <c r="CQ64" i="24"/>
  <c r="CR64" i="24"/>
  <c r="CS64" i="24"/>
  <c r="CT64" i="24"/>
  <c r="CU64" i="24"/>
  <c r="CV64" i="24"/>
  <c r="CW64" i="24"/>
  <c r="CX64" i="24"/>
  <c r="CY64" i="24"/>
  <c r="CZ64" i="24"/>
  <c r="DA64" i="24"/>
  <c r="DB64" i="24"/>
  <c r="DC64" i="24"/>
  <c r="DD64" i="24"/>
  <c r="DE64" i="24"/>
  <c r="DF64" i="24"/>
  <c r="DG64" i="24"/>
  <c r="DH64" i="24"/>
  <c r="DI64" i="24"/>
  <c r="DJ64" i="24"/>
  <c r="DK64" i="24"/>
  <c r="DL64" i="24"/>
  <c r="CO64" i="24"/>
  <c r="CP64" i="24"/>
  <c r="CN66" i="24"/>
  <c r="CN67" i="24"/>
  <c r="CN65" i="24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7" i="5"/>
  <c r="G23" i="5"/>
  <c r="DM2" i="24"/>
  <c r="G3" i="26"/>
  <c r="G4" i="26"/>
  <c r="CP1" i="24"/>
  <c r="CQ1" i="24"/>
  <c r="CR1" i="24"/>
  <c r="N4" i="5"/>
  <c r="N5" i="5"/>
  <c r="N6" i="5"/>
  <c r="N7" i="5"/>
  <c r="N8" i="5"/>
  <c r="N9" i="5"/>
  <c r="N10" i="5"/>
  <c r="N11" i="5"/>
  <c r="N12" i="5"/>
  <c r="N31" i="6"/>
  <c r="G28" i="5"/>
  <c r="G24" i="5"/>
  <c r="G25" i="5"/>
  <c r="G26" i="5"/>
  <c r="CS2" i="24"/>
  <c r="CT2" i="24"/>
  <c r="CS1" i="24"/>
  <c r="CT1" i="24"/>
  <c r="CU1" i="24"/>
  <c r="CV1" i="24"/>
  <c r="CW1" i="24"/>
  <c r="CX1" i="24"/>
  <c r="CY1" i="24"/>
  <c r="CZ1" i="24"/>
  <c r="DA1" i="24"/>
  <c r="DB1" i="24"/>
  <c r="DC1" i="24"/>
  <c r="DD1" i="24"/>
  <c r="DE1" i="24"/>
  <c r="DF1" i="24"/>
  <c r="DG1" i="24"/>
  <c r="DH1" i="24"/>
  <c r="DI1" i="24"/>
  <c r="DJ1" i="24"/>
  <c r="CU2" i="24"/>
  <c r="CV2" i="24"/>
  <c r="CW2" i="24"/>
  <c r="CX2" i="24"/>
  <c r="CY2" i="24"/>
  <c r="CZ2" i="24"/>
  <c r="DA2" i="24"/>
  <c r="DB2" i="24"/>
  <c r="DC2" i="24"/>
  <c r="DD2" i="24"/>
  <c r="DE2" i="24"/>
  <c r="DF2" i="24"/>
  <c r="DG2" i="24"/>
  <c r="DH2" i="24"/>
  <c r="DI2" i="24"/>
  <c r="DJ2" i="24"/>
  <c r="DK2" i="24"/>
  <c r="I3" i="26"/>
  <c r="I15" i="26"/>
  <c r="H3" i="26"/>
  <c r="H15" i="26"/>
  <c r="G15" i="26"/>
  <c r="I14" i="26"/>
  <c r="H14" i="26"/>
  <c r="G14" i="26"/>
  <c r="I13" i="26"/>
  <c r="H13" i="26"/>
  <c r="G13" i="26"/>
  <c r="I12" i="26"/>
  <c r="H12" i="26"/>
  <c r="G12" i="26"/>
  <c r="I11" i="26"/>
  <c r="H11" i="26"/>
  <c r="G11" i="26"/>
  <c r="I10" i="26"/>
  <c r="H10" i="26"/>
  <c r="G10" i="26"/>
  <c r="I9" i="26"/>
  <c r="H9" i="26"/>
  <c r="G9" i="26"/>
  <c r="I8" i="26"/>
  <c r="H8" i="26"/>
  <c r="G8" i="26"/>
  <c r="I7" i="26"/>
  <c r="H7" i="26"/>
  <c r="G7" i="26"/>
  <c r="I6" i="26"/>
  <c r="H6" i="26"/>
  <c r="G6" i="26"/>
  <c r="I5" i="26"/>
  <c r="H5" i="26"/>
  <c r="G5" i="26"/>
  <c r="J4" i="26"/>
  <c r="I4" i="26"/>
  <c r="H4" i="26"/>
  <c r="J5" i="26"/>
  <c r="J6" i="26"/>
  <c r="J7" i="26"/>
  <c r="J8" i="26"/>
  <c r="J9" i="26"/>
  <c r="J10" i="26"/>
  <c r="J11" i="26"/>
  <c r="J12" i="26"/>
  <c r="J13" i="26"/>
  <c r="J14" i="26"/>
  <c r="J15" i="26"/>
  <c r="S29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7" i="5"/>
  <c r="E23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M29" i="5"/>
  <c r="M30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O33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E28" i="5"/>
  <c r="E24" i="5"/>
  <c r="E25" i="5"/>
  <c r="E26" i="5"/>
  <c r="I27" i="5"/>
  <c r="I23" i="5"/>
  <c r="I29" i="5"/>
  <c r="I30" i="5"/>
  <c r="L23" i="5"/>
  <c r="L27" i="5"/>
  <c r="N29" i="5"/>
  <c r="N30" i="5"/>
  <c r="N28" i="5"/>
  <c r="I28" i="5"/>
  <c r="I24" i="5"/>
  <c r="I25" i="5"/>
  <c r="I26" i="5"/>
  <c r="L24" i="5"/>
  <c r="L25" i="5"/>
  <c r="L26" i="5"/>
  <c r="L28" i="5"/>
  <c r="C28" i="5"/>
  <c r="D28" i="5"/>
  <c r="F28" i="5"/>
  <c r="H28" i="5"/>
  <c r="J28" i="5"/>
  <c r="K28" i="5"/>
  <c r="Q28" i="5"/>
  <c r="R28" i="5"/>
  <c r="T28" i="5"/>
  <c r="V28" i="5"/>
  <c r="X28" i="5"/>
  <c r="Y28" i="5"/>
  <c r="E36" i="24"/>
  <c r="F36" i="24"/>
  <c r="G36" i="24"/>
  <c r="H36" i="24"/>
  <c r="C9" i="24"/>
  <c r="C10" i="24"/>
  <c r="C11" i="24"/>
  <c r="C12" i="24"/>
  <c r="C13" i="24"/>
  <c r="C14" i="24"/>
  <c r="C15" i="24"/>
  <c r="T19" i="6"/>
  <c r="T20" i="6"/>
  <c r="T21" i="6"/>
  <c r="T22" i="6"/>
  <c r="T23" i="6"/>
  <c r="T24" i="6"/>
  <c r="T26" i="6"/>
  <c r="T27" i="6"/>
  <c r="T28" i="6"/>
  <c r="T29" i="6"/>
  <c r="T18" i="6"/>
  <c r="R28" i="6"/>
  <c r="R29" i="6"/>
  <c r="R27" i="6"/>
  <c r="R25" i="6"/>
  <c r="R24" i="6"/>
  <c r="R19" i="6"/>
  <c r="S19" i="6"/>
  <c r="S26" i="6"/>
  <c r="A29" i="6"/>
  <c r="A19" i="6"/>
  <c r="A20" i="6"/>
  <c r="A21" i="6"/>
  <c r="A22" i="6"/>
  <c r="A23" i="6"/>
  <c r="A24" i="6"/>
  <c r="A25" i="6"/>
  <c r="A26" i="6"/>
  <c r="A27" i="6"/>
  <c r="A28" i="6"/>
  <c r="A18" i="6"/>
  <c r="Q19" i="6"/>
  <c r="Q20" i="6"/>
  <c r="Q21" i="6"/>
  <c r="Q22" i="6"/>
  <c r="Q23" i="6"/>
  <c r="Q24" i="6"/>
  <c r="Q26" i="6"/>
  <c r="Q27" i="6"/>
  <c r="Q28" i="6"/>
  <c r="Q29" i="6"/>
  <c r="Q18" i="6"/>
  <c r="P18" i="6"/>
  <c r="P19" i="6"/>
  <c r="P24" i="6"/>
  <c r="P25" i="6"/>
  <c r="Q25" i="6"/>
  <c r="N29" i="6"/>
  <c r="O29" i="6"/>
  <c r="P29" i="6"/>
  <c r="N28" i="6"/>
  <c r="O28" i="6"/>
  <c r="P28" i="6"/>
  <c r="N27" i="6"/>
  <c r="O27" i="6"/>
  <c r="P27" i="6"/>
  <c r="N26" i="6"/>
  <c r="O26" i="6"/>
  <c r="P26" i="6"/>
  <c r="N25" i="6"/>
  <c r="O25" i="6"/>
  <c r="N24" i="6"/>
  <c r="O24" i="6"/>
  <c r="N23" i="6"/>
  <c r="O23" i="6"/>
  <c r="P23" i="6"/>
  <c r="N22" i="6"/>
  <c r="O22" i="6"/>
  <c r="P22" i="6"/>
  <c r="N21" i="6"/>
  <c r="O21" i="6"/>
  <c r="P21" i="6"/>
  <c r="N20" i="6"/>
  <c r="O20" i="6"/>
  <c r="P20" i="6"/>
  <c r="N19" i="6"/>
  <c r="O19" i="6"/>
  <c r="N18" i="6"/>
  <c r="O18" i="6"/>
  <c r="C18" i="6"/>
  <c r="C19" i="6"/>
  <c r="C20" i="6"/>
  <c r="C21" i="6"/>
  <c r="C22" i="6"/>
  <c r="C23" i="6"/>
  <c r="C24" i="6"/>
  <c r="C25" i="6"/>
  <c r="C26" i="6"/>
  <c r="C27" i="6"/>
  <c r="C28" i="6"/>
  <c r="C29" i="6"/>
  <c r="B19" i="6"/>
  <c r="B20" i="6"/>
  <c r="B21" i="6"/>
  <c r="B22" i="6"/>
  <c r="B23" i="6"/>
  <c r="B24" i="6"/>
  <c r="B25" i="6"/>
  <c r="B26" i="6"/>
  <c r="B27" i="6"/>
  <c r="B28" i="6"/>
  <c r="B29" i="6"/>
  <c r="B18" i="6"/>
  <c r="K13" i="24"/>
  <c r="BP11" i="24"/>
  <c r="M13" i="24"/>
  <c r="BR12" i="24"/>
  <c r="CQ12" i="24"/>
  <c r="O13" i="24"/>
  <c r="BT11" i="24"/>
  <c r="CS11" i="24"/>
  <c r="Q13" i="24"/>
  <c r="BV11" i="24"/>
  <c r="CU11" i="24"/>
  <c r="S13" i="24"/>
  <c r="BX11" i="24"/>
  <c r="CW11" i="24"/>
  <c r="U13" i="24"/>
  <c r="BZ12" i="24"/>
  <c r="CY12" i="24"/>
  <c r="W13" i="24"/>
  <c r="CB11" i="24"/>
  <c r="DA11" i="24"/>
  <c r="Y13" i="24"/>
  <c r="CD11" i="24"/>
  <c r="DC11" i="24"/>
  <c r="AJ10" i="24"/>
  <c r="AK15" i="24"/>
  <c r="AJ15" i="24"/>
  <c r="L13" i="24"/>
  <c r="BQ12" i="24"/>
  <c r="CP12" i="24"/>
  <c r="N13" i="24"/>
  <c r="BS10" i="24"/>
  <c r="CR10" i="24"/>
  <c r="P13" i="24"/>
  <c r="BU11" i="24"/>
  <c r="CT11" i="24"/>
  <c r="R13" i="24"/>
  <c r="BW10" i="24"/>
  <c r="CV10" i="24"/>
  <c r="T13" i="24"/>
  <c r="BY12" i="24"/>
  <c r="CX12" i="24"/>
  <c r="V13" i="24"/>
  <c r="CA12" i="24"/>
  <c r="CZ12" i="24"/>
  <c r="X13" i="24"/>
  <c r="CC11" i="24"/>
  <c r="DB11" i="24"/>
  <c r="Z13" i="24"/>
  <c r="CE12" i="24"/>
  <c r="DD12" i="24"/>
  <c r="AK10" i="24"/>
  <c r="AJ12" i="24"/>
  <c r="BP12" i="24"/>
  <c r="BR11" i="24"/>
  <c r="CQ11" i="24"/>
  <c r="T25" i="6"/>
  <c r="C16" i="24"/>
  <c r="C17" i="24"/>
  <c r="C18" i="24"/>
  <c r="G20" i="26"/>
  <c r="CO12" i="24"/>
  <c r="F20" i="26"/>
  <c r="CO11" i="24"/>
  <c r="BV10" i="24"/>
  <c r="CU10" i="24"/>
  <c r="BV12" i="24"/>
  <c r="CU12" i="24"/>
  <c r="CD12" i="24"/>
  <c r="DC12" i="24"/>
  <c r="BQ11" i="24"/>
  <c r="CP11" i="24"/>
  <c r="BZ11" i="24"/>
  <c r="CY11" i="24"/>
  <c r="CC12" i="24"/>
  <c r="DB12" i="24"/>
  <c r="BU10" i="24"/>
  <c r="CT10" i="24"/>
  <c r="CD10" i="24"/>
  <c r="DC10" i="24"/>
  <c r="CC10" i="24"/>
  <c r="DB10" i="24"/>
  <c r="BY11" i="24"/>
  <c r="CX11" i="24"/>
  <c r="BU12" i="24"/>
  <c r="CT12" i="24"/>
  <c r="BP10" i="24"/>
  <c r="BY10" i="24"/>
  <c r="CX10" i="24"/>
  <c r="BQ10" i="24"/>
  <c r="CP10" i="24"/>
  <c r="BZ10" i="24"/>
  <c r="CY10" i="24"/>
  <c r="BR10" i="24"/>
  <c r="CQ10" i="24"/>
  <c r="BX12" i="24"/>
  <c r="CW12" i="24"/>
  <c r="BT10" i="24"/>
  <c r="CS10" i="24"/>
  <c r="BT12" i="24"/>
  <c r="CS12" i="24"/>
  <c r="BX10" i="24"/>
  <c r="CW10" i="24"/>
  <c r="CB12" i="24"/>
  <c r="DA12" i="24"/>
  <c r="CB10" i="24"/>
  <c r="DA10" i="24"/>
  <c r="CE10" i="24"/>
  <c r="DD10" i="24"/>
  <c r="CA11" i="24"/>
  <c r="CZ11" i="24"/>
  <c r="BW12" i="24"/>
  <c r="CV12" i="24"/>
  <c r="BS12" i="24"/>
  <c r="CR12" i="24"/>
  <c r="CE11" i="24"/>
  <c r="DD11" i="24"/>
  <c r="CA10" i="24"/>
  <c r="CZ10" i="24"/>
  <c r="BW11" i="24"/>
  <c r="CV11" i="24"/>
  <c r="BS11" i="24"/>
  <c r="CR11" i="24"/>
  <c r="C19" i="24"/>
  <c r="C20" i="24"/>
  <c r="Y18" i="24"/>
  <c r="W18" i="24"/>
  <c r="U18" i="24"/>
  <c r="S18" i="24"/>
  <c r="Q18" i="24"/>
  <c r="O18" i="24"/>
  <c r="M18" i="24"/>
  <c r="K18" i="24"/>
  <c r="Z18" i="24"/>
  <c r="X18" i="24"/>
  <c r="V18" i="24"/>
  <c r="T18" i="24"/>
  <c r="R18" i="24"/>
  <c r="P18" i="24"/>
  <c r="N18" i="24"/>
  <c r="L18" i="24"/>
  <c r="E20" i="26"/>
  <c r="CO10" i="24"/>
  <c r="C21" i="24"/>
  <c r="C22" i="24"/>
  <c r="C23" i="24"/>
  <c r="AK20" i="24"/>
  <c r="AJ20" i="24"/>
  <c r="BS17" i="24"/>
  <c r="CR17" i="24"/>
  <c r="CA17" i="24"/>
  <c r="CZ17" i="24"/>
  <c r="BV17" i="24"/>
  <c r="CU17" i="24"/>
  <c r="BZ17" i="24"/>
  <c r="CY17" i="24"/>
  <c r="CD17" i="24"/>
  <c r="DC17" i="24"/>
  <c r="BW17" i="24"/>
  <c r="CV17" i="24"/>
  <c r="CE17" i="24"/>
  <c r="DD17" i="24"/>
  <c r="BR17" i="24"/>
  <c r="CQ17" i="24"/>
  <c r="BQ17" i="24"/>
  <c r="CP17" i="24"/>
  <c r="BU17" i="24"/>
  <c r="CT17" i="24"/>
  <c r="BY17" i="24"/>
  <c r="CX17" i="24"/>
  <c r="CC17" i="24"/>
  <c r="DB17" i="24"/>
  <c r="BP17" i="24"/>
  <c r="BT17" i="24"/>
  <c r="CS17" i="24"/>
  <c r="BX17" i="24"/>
  <c r="CW17" i="24"/>
  <c r="CB17" i="24"/>
  <c r="DA17" i="24"/>
  <c r="C24" i="24"/>
  <c r="C25" i="24"/>
  <c r="Y23" i="24"/>
  <c r="W23" i="24"/>
  <c r="U23" i="24"/>
  <c r="S23" i="24"/>
  <c r="Q23" i="24"/>
  <c r="O23" i="24"/>
  <c r="M23" i="24"/>
  <c r="K23" i="24"/>
  <c r="Z23" i="24"/>
  <c r="X23" i="24"/>
  <c r="V23" i="24"/>
  <c r="T23" i="24"/>
  <c r="R23" i="24"/>
  <c r="P23" i="24"/>
  <c r="N23" i="24"/>
  <c r="L23" i="24"/>
  <c r="G21" i="26"/>
  <c r="CO17" i="24"/>
  <c r="C26" i="24"/>
  <c r="C27" i="24"/>
  <c r="C28" i="24"/>
  <c r="AK25" i="24"/>
  <c r="AJ25" i="24"/>
  <c r="BS22" i="24"/>
  <c r="CR22" i="24"/>
  <c r="BS21" i="24"/>
  <c r="CR21" i="24"/>
  <c r="BS20" i="24"/>
  <c r="CR20" i="24"/>
  <c r="BW20" i="24"/>
  <c r="CV20" i="24"/>
  <c r="BW22" i="24"/>
  <c r="CV22" i="24"/>
  <c r="BW21" i="24"/>
  <c r="CV21" i="24"/>
  <c r="CA22" i="24"/>
  <c r="CZ22" i="24"/>
  <c r="CA21" i="24"/>
  <c r="CZ21" i="24"/>
  <c r="CA20" i="24"/>
  <c r="CZ20" i="24"/>
  <c r="CE22" i="24"/>
  <c r="DD22" i="24"/>
  <c r="CE21" i="24"/>
  <c r="DD21" i="24"/>
  <c r="CE20" i="24"/>
  <c r="DD20" i="24"/>
  <c r="BR22" i="24"/>
  <c r="CQ22" i="24"/>
  <c r="BR21" i="24"/>
  <c r="CQ21" i="24"/>
  <c r="BR20" i="24"/>
  <c r="CQ20" i="24"/>
  <c r="BV22" i="24"/>
  <c r="CU22" i="24"/>
  <c r="BV21" i="24"/>
  <c r="CU21" i="24"/>
  <c r="BV20" i="24"/>
  <c r="CU20" i="24"/>
  <c r="BZ22" i="24"/>
  <c r="CY22" i="24"/>
  <c r="BZ21" i="24"/>
  <c r="CY21" i="24"/>
  <c r="BZ20" i="24"/>
  <c r="CY20" i="24"/>
  <c r="CD22" i="24"/>
  <c r="DC22" i="24"/>
  <c r="CD21" i="24"/>
  <c r="DC21" i="24"/>
  <c r="CD20" i="24"/>
  <c r="DC20" i="24"/>
  <c r="BQ20" i="24"/>
  <c r="CP20" i="24"/>
  <c r="BQ22" i="24"/>
  <c r="CP22" i="24"/>
  <c r="BQ21" i="24"/>
  <c r="CP21" i="24"/>
  <c r="BU22" i="24"/>
  <c r="CT22" i="24"/>
  <c r="BU21" i="24"/>
  <c r="CT21" i="24"/>
  <c r="BU20" i="24"/>
  <c r="CT20" i="24"/>
  <c r="BY22" i="24"/>
  <c r="CX22" i="24"/>
  <c r="BY21" i="24"/>
  <c r="CX21" i="24"/>
  <c r="BY20" i="24"/>
  <c r="CX20" i="24"/>
  <c r="CC22" i="24"/>
  <c r="DB22" i="24"/>
  <c r="CC21" i="24"/>
  <c r="DB21" i="24"/>
  <c r="CC20" i="24"/>
  <c r="DB20" i="24"/>
  <c r="BP22" i="24"/>
  <c r="BP21" i="24"/>
  <c r="BP20" i="24"/>
  <c r="BT22" i="24"/>
  <c r="CS22" i="24"/>
  <c r="BT21" i="24"/>
  <c r="CS21" i="24"/>
  <c r="BT20" i="24"/>
  <c r="CS20" i="24"/>
  <c r="BX22" i="24"/>
  <c r="CW22" i="24"/>
  <c r="BX21" i="24"/>
  <c r="CW21" i="24"/>
  <c r="BX20" i="24"/>
  <c r="CW20" i="24"/>
  <c r="CB22" i="24"/>
  <c r="DA22" i="24"/>
  <c r="CB21" i="24"/>
  <c r="DA21" i="24"/>
  <c r="CB20" i="24"/>
  <c r="DA20" i="24"/>
  <c r="C29" i="24"/>
  <c r="C30" i="24"/>
  <c r="Y28" i="24"/>
  <c r="W28" i="24"/>
  <c r="U28" i="24"/>
  <c r="S28" i="24"/>
  <c r="Q28" i="24"/>
  <c r="O28" i="24"/>
  <c r="M28" i="24"/>
  <c r="K28" i="24"/>
  <c r="Z28" i="24"/>
  <c r="X28" i="24"/>
  <c r="V28" i="24"/>
  <c r="T28" i="24"/>
  <c r="R28" i="24"/>
  <c r="P28" i="24"/>
  <c r="N28" i="24"/>
  <c r="L28" i="24"/>
  <c r="F22" i="26"/>
  <c r="CO21" i="24"/>
  <c r="E22" i="26"/>
  <c r="CO20" i="24"/>
  <c r="G22" i="26"/>
  <c r="CO22" i="24"/>
  <c r="C31" i="24"/>
  <c r="C32" i="24"/>
  <c r="C33" i="24"/>
  <c r="AK30" i="24"/>
  <c r="AJ30" i="24"/>
  <c r="BS26" i="24"/>
  <c r="CR26" i="24"/>
  <c r="BS27" i="24"/>
  <c r="CR27" i="24"/>
  <c r="BS25" i="24"/>
  <c r="CR25" i="24"/>
  <c r="BW26" i="24"/>
  <c r="CV26" i="24"/>
  <c r="BW25" i="24"/>
  <c r="CV25" i="24"/>
  <c r="BW27" i="24"/>
  <c r="CV27" i="24"/>
  <c r="CA25" i="24"/>
  <c r="CZ25" i="24"/>
  <c r="CA27" i="24"/>
  <c r="CZ27" i="24"/>
  <c r="CA26" i="24"/>
  <c r="CZ26" i="24"/>
  <c r="CE25" i="24"/>
  <c r="DD25" i="24"/>
  <c r="CE27" i="24"/>
  <c r="DD27" i="24"/>
  <c r="CE26" i="24"/>
  <c r="DD26" i="24"/>
  <c r="BR27" i="24"/>
  <c r="CQ27" i="24"/>
  <c r="BR26" i="24"/>
  <c r="CQ26" i="24"/>
  <c r="BR25" i="24"/>
  <c r="CQ25" i="24"/>
  <c r="BV27" i="24"/>
  <c r="CU27" i="24"/>
  <c r="BV26" i="24"/>
  <c r="CU26" i="24"/>
  <c r="BV25" i="24"/>
  <c r="CU25" i="24"/>
  <c r="BZ27" i="24"/>
  <c r="CY27" i="24"/>
  <c r="BZ26" i="24"/>
  <c r="CY26" i="24"/>
  <c r="BZ25" i="24"/>
  <c r="CY25" i="24"/>
  <c r="CD27" i="24"/>
  <c r="DC27" i="24"/>
  <c r="CD26" i="24"/>
  <c r="DC26" i="24"/>
  <c r="CD25" i="24"/>
  <c r="DC25" i="24"/>
  <c r="BQ25" i="24"/>
  <c r="CP25" i="24"/>
  <c r="BQ27" i="24"/>
  <c r="CP27" i="24"/>
  <c r="BQ26" i="24"/>
  <c r="CP26" i="24"/>
  <c r="BU27" i="24"/>
  <c r="CT27" i="24"/>
  <c r="BU26" i="24"/>
  <c r="CT26" i="24"/>
  <c r="BU25" i="24"/>
  <c r="CT25" i="24"/>
  <c r="BY27" i="24"/>
  <c r="CX27" i="24"/>
  <c r="BY26" i="24"/>
  <c r="CX26" i="24"/>
  <c r="BY25" i="24"/>
  <c r="CX25" i="24"/>
  <c r="CC27" i="24"/>
  <c r="DB27" i="24"/>
  <c r="CC26" i="24"/>
  <c r="DB26" i="24"/>
  <c r="CC25" i="24"/>
  <c r="DB25" i="24"/>
  <c r="BP27" i="24"/>
  <c r="BP26" i="24"/>
  <c r="BP25" i="24"/>
  <c r="BT27" i="24"/>
  <c r="CS27" i="24"/>
  <c r="BT26" i="24"/>
  <c r="CS26" i="24"/>
  <c r="BT25" i="24"/>
  <c r="CS25" i="24"/>
  <c r="BX27" i="24"/>
  <c r="CW27" i="24"/>
  <c r="BX26" i="24"/>
  <c r="CW26" i="24"/>
  <c r="BX25" i="24"/>
  <c r="CW25" i="24"/>
  <c r="CB27" i="24"/>
  <c r="DA27" i="24"/>
  <c r="CB26" i="24"/>
  <c r="DA26" i="24"/>
  <c r="CB25" i="24"/>
  <c r="DA25" i="24"/>
  <c r="C34" i="24"/>
  <c r="C35" i="24"/>
  <c r="Y33" i="24"/>
  <c r="W33" i="24"/>
  <c r="U33" i="24"/>
  <c r="S33" i="24"/>
  <c r="Q33" i="24"/>
  <c r="O33" i="24"/>
  <c r="M33" i="24"/>
  <c r="K33" i="24"/>
  <c r="Z33" i="24"/>
  <c r="X33" i="24"/>
  <c r="V33" i="24"/>
  <c r="T33" i="24"/>
  <c r="R33" i="24"/>
  <c r="P33" i="24"/>
  <c r="N33" i="24"/>
  <c r="L33" i="24"/>
  <c r="E23" i="26"/>
  <c r="CO25" i="24"/>
  <c r="G23" i="26"/>
  <c r="CO27" i="24"/>
  <c r="F23" i="26"/>
  <c r="CO26" i="24"/>
  <c r="C36" i="24"/>
  <c r="C37" i="24"/>
  <c r="C38" i="24"/>
  <c r="AJ35" i="24"/>
  <c r="AK35" i="24"/>
  <c r="BU31" i="24"/>
  <c r="CT31" i="24"/>
  <c r="BU32" i="24"/>
  <c r="CT32" i="24"/>
  <c r="BU30" i="24"/>
  <c r="CT30" i="24"/>
  <c r="BS30" i="24"/>
  <c r="CR30" i="24"/>
  <c r="BS32" i="24"/>
  <c r="CR32" i="24"/>
  <c r="BS31" i="24"/>
  <c r="CR31" i="24"/>
  <c r="BW30" i="24"/>
  <c r="CV30" i="24"/>
  <c r="BW32" i="24"/>
  <c r="CV32" i="24"/>
  <c r="BW31" i="24"/>
  <c r="CV31" i="24"/>
  <c r="CA32" i="24"/>
  <c r="CZ32" i="24"/>
  <c r="CA30" i="24"/>
  <c r="CZ30" i="24"/>
  <c r="CA31" i="24"/>
  <c r="CZ31" i="24"/>
  <c r="CE30" i="24"/>
  <c r="DD30" i="24"/>
  <c r="CE32" i="24"/>
  <c r="DD32" i="24"/>
  <c r="CE31" i="24"/>
  <c r="DD31" i="24"/>
  <c r="BR32" i="24"/>
  <c r="CQ32" i="24"/>
  <c r="BR31" i="24"/>
  <c r="CQ31" i="24"/>
  <c r="BR30" i="24"/>
  <c r="CQ30" i="24"/>
  <c r="BV32" i="24"/>
  <c r="CU32" i="24"/>
  <c r="BV31" i="24"/>
  <c r="CU31" i="24"/>
  <c r="BV30" i="24"/>
  <c r="CU30" i="24"/>
  <c r="BZ32" i="24"/>
  <c r="CY32" i="24"/>
  <c r="BZ31" i="24"/>
  <c r="CY31" i="24"/>
  <c r="BZ30" i="24"/>
  <c r="CY30" i="24"/>
  <c r="CD32" i="24"/>
  <c r="DC32" i="24"/>
  <c r="CD31" i="24"/>
  <c r="DC31" i="24"/>
  <c r="CD30" i="24"/>
  <c r="DC30" i="24"/>
  <c r="BQ31" i="24"/>
  <c r="CP31" i="24"/>
  <c r="BQ32" i="24"/>
  <c r="CP32" i="24"/>
  <c r="BQ30" i="24"/>
  <c r="CP30" i="24"/>
  <c r="BY31" i="24"/>
  <c r="CX31" i="24"/>
  <c r="BY32" i="24"/>
  <c r="CX32" i="24"/>
  <c r="BY30" i="24"/>
  <c r="CX30" i="24"/>
  <c r="CC31" i="24"/>
  <c r="DB31" i="24"/>
  <c r="CC32" i="24"/>
  <c r="DB32" i="24"/>
  <c r="CC30" i="24"/>
  <c r="DB30" i="24"/>
  <c r="BP32" i="24"/>
  <c r="BP31" i="24"/>
  <c r="BP30" i="24"/>
  <c r="BT32" i="24"/>
  <c r="CS32" i="24"/>
  <c r="BT31" i="24"/>
  <c r="CS31" i="24"/>
  <c r="BT30" i="24"/>
  <c r="CS30" i="24"/>
  <c r="BX32" i="24"/>
  <c r="CW32" i="24"/>
  <c r="BX31" i="24"/>
  <c r="CW31" i="24"/>
  <c r="BX30" i="24"/>
  <c r="CW30" i="24"/>
  <c r="CB32" i="24"/>
  <c r="DA32" i="24"/>
  <c r="CB31" i="24"/>
  <c r="DA31" i="24"/>
  <c r="CB30" i="24"/>
  <c r="DA30" i="24"/>
  <c r="C39" i="24"/>
  <c r="C40" i="24"/>
  <c r="Y38" i="24"/>
  <c r="U38" i="24"/>
  <c r="Q38" i="24"/>
  <c r="M38" i="24"/>
  <c r="Z38" i="24"/>
  <c r="V38" i="24"/>
  <c r="R38" i="24"/>
  <c r="N38" i="24"/>
  <c r="L38" i="24"/>
  <c r="F24" i="26"/>
  <c r="CO31" i="24"/>
  <c r="E24" i="26"/>
  <c r="CO30" i="24"/>
  <c r="G24" i="26"/>
  <c r="CO32" i="24"/>
  <c r="P38" i="24"/>
  <c r="BU37" i="24"/>
  <c r="CT37" i="24"/>
  <c r="T38" i="24"/>
  <c r="BY37" i="24"/>
  <c r="CX37" i="24"/>
  <c r="X38" i="24"/>
  <c r="CC37" i="24"/>
  <c r="DB37" i="24"/>
  <c r="K38" i="24"/>
  <c r="BP37" i="24"/>
  <c r="O38" i="24"/>
  <c r="BT37" i="24"/>
  <c r="CS37" i="24"/>
  <c r="S38" i="24"/>
  <c r="BX37" i="24"/>
  <c r="CW37" i="24"/>
  <c r="W38" i="24"/>
  <c r="CB36" i="24"/>
  <c r="DA36" i="24"/>
  <c r="C41" i="24"/>
  <c r="C42" i="24"/>
  <c r="C43" i="24"/>
  <c r="AK40" i="24"/>
  <c r="AJ40" i="24"/>
  <c r="BU36" i="24"/>
  <c r="CT36" i="24"/>
  <c r="BS37" i="24"/>
  <c r="CR37" i="24"/>
  <c r="BS36" i="24"/>
  <c r="CR36" i="24"/>
  <c r="BS35" i="24"/>
  <c r="CR35" i="24"/>
  <c r="BW37" i="24"/>
  <c r="CV37" i="24"/>
  <c r="BW36" i="24"/>
  <c r="CV36" i="24"/>
  <c r="BW35" i="24"/>
  <c r="CV35" i="24"/>
  <c r="CA35" i="24"/>
  <c r="CZ35" i="24"/>
  <c r="CA37" i="24"/>
  <c r="CZ37" i="24"/>
  <c r="CA36" i="24"/>
  <c r="CZ36" i="24"/>
  <c r="CE37" i="24"/>
  <c r="DD37" i="24"/>
  <c r="CE36" i="24"/>
  <c r="DD36" i="24"/>
  <c r="CE35" i="24"/>
  <c r="DD35" i="24"/>
  <c r="BR37" i="24"/>
  <c r="CQ37" i="24"/>
  <c r="BR36" i="24"/>
  <c r="CQ36" i="24"/>
  <c r="BR35" i="24"/>
  <c r="CQ35" i="24"/>
  <c r="BV37" i="24"/>
  <c r="CU37" i="24"/>
  <c r="BV36" i="24"/>
  <c r="CU36" i="24"/>
  <c r="BV35" i="24"/>
  <c r="CU35" i="24"/>
  <c r="BZ37" i="24"/>
  <c r="CY37" i="24"/>
  <c r="BZ36" i="24"/>
  <c r="CY36" i="24"/>
  <c r="BZ35" i="24"/>
  <c r="CY35" i="24"/>
  <c r="CD37" i="24"/>
  <c r="DC37" i="24"/>
  <c r="CD36" i="24"/>
  <c r="DC36" i="24"/>
  <c r="CD35" i="24"/>
  <c r="DC35" i="24"/>
  <c r="BQ37" i="24"/>
  <c r="CP37" i="24"/>
  <c r="BQ36" i="24"/>
  <c r="CP36" i="24"/>
  <c r="BQ35" i="24"/>
  <c r="CP35" i="24"/>
  <c r="C44" i="24"/>
  <c r="C45" i="24"/>
  <c r="Y43" i="24"/>
  <c r="W43" i="24"/>
  <c r="U43" i="24"/>
  <c r="S43" i="24"/>
  <c r="Q43" i="24"/>
  <c r="O43" i="24"/>
  <c r="M43" i="24"/>
  <c r="K43" i="24"/>
  <c r="Z43" i="24"/>
  <c r="X43" i="24"/>
  <c r="V43" i="24"/>
  <c r="T43" i="24"/>
  <c r="R43" i="24"/>
  <c r="P43" i="24"/>
  <c r="N43" i="24"/>
  <c r="L43" i="24"/>
  <c r="G25" i="26"/>
  <c r="CO37" i="24"/>
  <c r="BY36" i="24"/>
  <c r="CX36" i="24"/>
  <c r="BY35" i="24"/>
  <c r="CX35" i="24"/>
  <c r="CB37" i="24"/>
  <c r="DA37" i="24"/>
  <c r="CB35" i="24"/>
  <c r="DA35" i="24"/>
  <c r="BT36" i="24"/>
  <c r="CS36" i="24"/>
  <c r="BT35" i="24"/>
  <c r="CS35" i="24"/>
  <c r="BX36" i="24"/>
  <c r="CW36" i="24"/>
  <c r="BP36" i="24"/>
  <c r="CC36" i="24"/>
  <c r="DB36" i="24"/>
  <c r="BX35" i="24"/>
  <c r="CW35" i="24"/>
  <c r="BP35" i="24"/>
  <c r="CC35" i="24"/>
  <c r="DB35" i="24"/>
  <c r="C46" i="24"/>
  <c r="C47" i="24"/>
  <c r="C48" i="24"/>
  <c r="AJ45" i="24"/>
  <c r="AK45" i="24"/>
  <c r="BU35" i="24"/>
  <c r="CT35" i="24"/>
  <c r="BU41" i="24"/>
  <c r="CT41" i="24"/>
  <c r="BU40" i="24"/>
  <c r="CT40" i="24"/>
  <c r="BU42" i="24"/>
  <c r="CT42" i="24"/>
  <c r="CC42" i="24"/>
  <c r="DB42" i="24"/>
  <c r="CC41" i="24"/>
  <c r="DB41" i="24"/>
  <c r="CC40" i="24"/>
  <c r="DB40" i="24"/>
  <c r="BP42" i="24"/>
  <c r="BP41" i="24"/>
  <c r="BP40" i="24"/>
  <c r="BS42" i="24"/>
  <c r="CR42" i="24"/>
  <c r="BS41" i="24"/>
  <c r="CR41" i="24"/>
  <c r="BS40" i="24"/>
  <c r="CR40" i="24"/>
  <c r="BW42" i="24"/>
  <c r="CV42" i="24"/>
  <c r="BW41" i="24"/>
  <c r="CV41" i="24"/>
  <c r="BW40" i="24"/>
  <c r="CV40" i="24"/>
  <c r="CA40" i="24"/>
  <c r="CZ40" i="24"/>
  <c r="CA42" i="24"/>
  <c r="CZ42" i="24"/>
  <c r="CA41" i="24"/>
  <c r="CZ41" i="24"/>
  <c r="CE40" i="24"/>
  <c r="DD40" i="24"/>
  <c r="CE42" i="24"/>
  <c r="DD42" i="24"/>
  <c r="CE41" i="24"/>
  <c r="DD41" i="24"/>
  <c r="BR42" i="24"/>
  <c r="CQ42" i="24"/>
  <c r="BR41" i="24"/>
  <c r="CQ41" i="24"/>
  <c r="BR40" i="24"/>
  <c r="CQ40" i="24"/>
  <c r="BV42" i="24"/>
  <c r="CU42" i="24"/>
  <c r="BV41" i="24"/>
  <c r="CU41" i="24"/>
  <c r="BV40" i="24"/>
  <c r="CU40" i="24"/>
  <c r="BZ42" i="24"/>
  <c r="CY42" i="24"/>
  <c r="BZ41" i="24"/>
  <c r="CY41" i="24"/>
  <c r="BZ40" i="24"/>
  <c r="CY40" i="24"/>
  <c r="CD42" i="24"/>
  <c r="DC42" i="24"/>
  <c r="CD41" i="24"/>
  <c r="DC41" i="24"/>
  <c r="CD40" i="24"/>
  <c r="DC40" i="24"/>
  <c r="BQ40" i="24"/>
  <c r="CP40" i="24"/>
  <c r="BQ42" i="24"/>
  <c r="CP42" i="24"/>
  <c r="BQ41" i="24"/>
  <c r="CP41" i="24"/>
  <c r="BY42" i="24"/>
  <c r="CX42" i="24"/>
  <c r="BY41" i="24"/>
  <c r="CX41" i="24"/>
  <c r="BY40" i="24"/>
  <c r="CX40" i="24"/>
  <c r="BT42" i="24"/>
  <c r="CS42" i="24"/>
  <c r="BT41" i="24"/>
  <c r="CS41" i="24"/>
  <c r="BT40" i="24"/>
  <c r="CS40" i="24"/>
  <c r="BX42" i="24"/>
  <c r="CW42" i="24"/>
  <c r="BX41" i="24"/>
  <c r="CW41" i="24"/>
  <c r="BX40" i="24"/>
  <c r="CW40" i="24"/>
  <c r="CB42" i="24"/>
  <c r="DA42" i="24"/>
  <c r="CB41" i="24"/>
  <c r="DA41" i="24"/>
  <c r="CB40" i="24"/>
  <c r="DA40" i="24"/>
  <c r="C49" i="24"/>
  <c r="C50" i="24"/>
  <c r="W48" i="24"/>
  <c r="S48" i="24"/>
  <c r="O48" i="24"/>
  <c r="K48" i="24"/>
  <c r="X48" i="24"/>
  <c r="T48" i="24"/>
  <c r="P48" i="24"/>
  <c r="L48" i="24"/>
  <c r="E26" i="26"/>
  <c r="CO40" i="24"/>
  <c r="G26" i="26"/>
  <c r="CO42" i="24"/>
  <c r="F26" i="26"/>
  <c r="CO41" i="24"/>
  <c r="E25" i="26"/>
  <c r="CO35" i="24"/>
  <c r="F25" i="26"/>
  <c r="CO36" i="24"/>
  <c r="C51" i="24"/>
  <c r="C52" i="24"/>
  <c r="C53" i="24"/>
  <c r="AJ50" i="24"/>
  <c r="AK50" i="24"/>
  <c r="N48" i="24"/>
  <c r="BS46" i="24"/>
  <c r="CR46" i="24"/>
  <c r="R48" i="24"/>
  <c r="BW47" i="24"/>
  <c r="CV47" i="24"/>
  <c r="V48" i="24"/>
  <c r="CA46" i="24"/>
  <c r="CZ46" i="24"/>
  <c r="Z48" i="24"/>
  <c r="CE46" i="24"/>
  <c r="DD46" i="24"/>
  <c r="M48" i="24"/>
  <c r="BR46" i="24"/>
  <c r="CQ46" i="24"/>
  <c r="Q48" i="24"/>
  <c r="BV47" i="24"/>
  <c r="CU47" i="24"/>
  <c r="U48" i="24"/>
  <c r="BZ46" i="24"/>
  <c r="CY46" i="24"/>
  <c r="Y48" i="24"/>
  <c r="CD46" i="24"/>
  <c r="DC46" i="24"/>
  <c r="BQ47" i="24"/>
  <c r="CP47" i="24"/>
  <c r="BQ46" i="24"/>
  <c r="CP46" i="24"/>
  <c r="BQ45" i="24"/>
  <c r="CP45" i="24"/>
  <c r="CC47" i="24"/>
  <c r="DB47" i="24"/>
  <c r="CC46" i="24"/>
  <c r="DB46" i="24"/>
  <c r="CC45" i="24"/>
  <c r="DB45" i="24"/>
  <c r="BS47" i="24"/>
  <c r="CR47" i="24"/>
  <c r="BU47" i="24"/>
  <c r="CT47" i="24"/>
  <c r="BU46" i="24"/>
  <c r="CT46" i="24"/>
  <c r="BU45" i="24"/>
  <c r="CT45" i="24"/>
  <c r="BY47" i="24"/>
  <c r="CX47" i="24"/>
  <c r="BY46" i="24"/>
  <c r="CX46" i="24"/>
  <c r="BY45" i="24"/>
  <c r="CX45" i="24"/>
  <c r="BP47" i="24"/>
  <c r="BP46" i="24"/>
  <c r="BP45" i="24"/>
  <c r="BT47" i="24"/>
  <c r="CS47" i="24"/>
  <c r="BT46" i="24"/>
  <c r="CS46" i="24"/>
  <c r="BT45" i="24"/>
  <c r="CS45" i="24"/>
  <c r="BX47" i="24"/>
  <c r="CW47" i="24"/>
  <c r="BX46" i="24"/>
  <c r="CW46" i="24"/>
  <c r="BX45" i="24"/>
  <c r="CW45" i="24"/>
  <c r="CB47" i="24"/>
  <c r="DA47" i="24"/>
  <c r="CB46" i="24"/>
  <c r="DA46" i="24"/>
  <c r="CB45" i="24"/>
  <c r="DA45" i="24"/>
  <c r="C54" i="24"/>
  <c r="C55" i="24"/>
  <c r="Y53" i="24"/>
  <c r="W53" i="24"/>
  <c r="U53" i="24"/>
  <c r="S53" i="24"/>
  <c r="Q53" i="24"/>
  <c r="O53" i="24"/>
  <c r="M53" i="24"/>
  <c r="K53" i="24"/>
  <c r="Z53" i="24"/>
  <c r="X53" i="24"/>
  <c r="V53" i="24"/>
  <c r="T53" i="24"/>
  <c r="R53" i="24"/>
  <c r="P53" i="24"/>
  <c r="N53" i="24"/>
  <c r="L53" i="24"/>
  <c r="F27" i="26"/>
  <c r="CO46" i="24"/>
  <c r="E27" i="26"/>
  <c r="CO45" i="24"/>
  <c r="G27" i="26"/>
  <c r="CO47" i="24"/>
  <c r="CA47" i="24"/>
  <c r="CZ47" i="24"/>
  <c r="CD47" i="24"/>
  <c r="DC47" i="24"/>
  <c r="CA45" i="24"/>
  <c r="CZ45" i="24"/>
  <c r="BS45" i="24"/>
  <c r="CR45" i="24"/>
  <c r="CD45" i="24"/>
  <c r="DC45" i="24"/>
  <c r="BV46" i="24"/>
  <c r="CU46" i="24"/>
  <c r="BV45" i="24"/>
  <c r="CU45" i="24"/>
  <c r="BZ47" i="24"/>
  <c r="CY47" i="24"/>
  <c r="BR45" i="24"/>
  <c r="CQ45" i="24"/>
  <c r="CE47" i="24"/>
  <c r="DD47" i="24"/>
  <c r="CE45" i="24"/>
  <c r="DD45" i="24"/>
  <c r="BW46" i="24"/>
  <c r="CV46" i="24"/>
  <c r="BZ45" i="24"/>
  <c r="CY45" i="24"/>
  <c r="BR47" i="24"/>
  <c r="CQ47" i="24"/>
  <c r="BW45" i="24"/>
  <c r="CV45" i="24"/>
  <c r="C56" i="24"/>
  <c r="C57" i="24"/>
  <c r="C58" i="24"/>
  <c r="AK55" i="24"/>
  <c r="AJ55" i="24"/>
  <c r="BQ52" i="24"/>
  <c r="CP52" i="24"/>
  <c r="BQ51" i="24"/>
  <c r="CP51" i="24"/>
  <c r="BQ50" i="24"/>
  <c r="CP50" i="24"/>
  <c r="BY52" i="24"/>
  <c r="CX52" i="24"/>
  <c r="BY51" i="24"/>
  <c r="CX51" i="24"/>
  <c r="BY50" i="24"/>
  <c r="CX50" i="24"/>
  <c r="BP52" i="24"/>
  <c r="BP51" i="24"/>
  <c r="BP50" i="24"/>
  <c r="BS50" i="24"/>
  <c r="CR50" i="24"/>
  <c r="BS52" i="24"/>
  <c r="CR52" i="24"/>
  <c r="BS51" i="24"/>
  <c r="CR51" i="24"/>
  <c r="BW50" i="24"/>
  <c r="CV50" i="24"/>
  <c r="BW52" i="24"/>
  <c r="CV52" i="24"/>
  <c r="BW51" i="24"/>
  <c r="CV51" i="24"/>
  <c r="CA52" i="24"/>
  <c r="CZ52" i="24"/>
  <c r="CA51" i="24"/>
  <c r="CZ51" i="24"/>
  <c r="CA50" i="24"/>
  <c r="CZ50" i="24"/>
  <c r="CE52" i="24"/>
  <c r="DD52" i="24"/>
  <c r="CE51" i="24"/>
  <c r="DD51" i="24"/>
  <c r="CE50" i="24"/>
  <c r="DD50" i="24"/>
  <c r="BR52" i="24"/>
  <c r="CQ52" i="24"/>
  <c r="BR51" i="24"/>
  <c r="CQ51" i="24"/>
  <c r="BR50" i="24"/>
  <c r="CQ50" i="24"/>
  <c r="BV52" i="24"/>
  <c r="CU52" i="24"/>
  <c r="BV51" i="24"/>
  <c r="CU51" i="24"/>
  <c r="BV50" i="24"/>
  <c r="CU50" i="24"/>
  <c r="BZ52" i="24"/>
  <c r="CY52" i="24"/>
  <c r="BZ51" i="24"/>
  <c r="CY51" i="24"/>
  <c r="BZ50" i="24"/>
  <c r="CY50" i="24"/>
  <c r="CD52" i="24"/>
  <c r="DC52" i="24"/>
  <c r="CD51" i="24"/>
  <c r="DC51" i="24"/>
  <c r="CD50" i="24"/>
  <c r="DC50" i="24"/>
  <c r="BU51" i="24"/>
  <c r="CT51" i="24"/>
  <c r="BU52" i="24"/>
  <c r="CT52" i="24"/>
  <c r="BU50" i="24"/>
  <c r="CT50" i="24"/>
  <c r="CC50" i="24"/>
  <c r="DB50" i="24"/>
  <c r="CC52" i="24"/>
  <c r="DB52" i="24"/>
  <c r="CC51" i="24"/>
  <c r="DB51" i="24"/>
  <c r="BT52" i="24"/>
  <c r="CS52" i="24"/>
  <c r="BT51" i="24"/>
  <c r="CS51" i="24"/>
  <c r="BT50" i="24"/>
  <c r="CS50" i="24"/>
  <c r="BX52" i="24"/>
  <c r="CW52" i="24"/>
  <c r="BX51" i="24"/>
  <c r="CW51" i="24"/>
  <c r="BX50" i="24"/>
  <c r="CW50" i="24"/>
  <c r="CB52" i="24"/>
  <c r="DA52" i="24"/>
  <c r="CB51" i="24"/>
  <c r="DA51" i="24"/>
  <c r="CB50" i="24"/>
  <c r="DA50" i="24"/>
  <c r="C59" i="24"/>
  <c r="C60" i="24"/>
  <c r="Y58" i="24"/>
  <c r="U58" i="24"/>
  <c r="Q58" i="24"/>
  <c r="M58" i="24"/>
  <c r="Z58" i="24"/>
  <c r="V58" i="24"/>
  <c r="R58" i="24"/>
  <c r="N58" i="24"/>
  <c r="F28" i="26"/>
  <c r="CO51" i="24"/>
  <c r="E28" i="26"/>
  <c r="CO50" i="24"/>
  <c r="G28" i="26"/>
  <c r="CO52" i="24"/>
  <c r="L58" i="24"/>
  <c r="P58" i="24"/>
  <c r="T58" i="24"/>
  <c r="X58" i="24"/>
  <c r="CC57" i="24"/>
  <c r="DB57" i="24"/>
  <c r="K58" i="24"/>
  <c r="BP56" i="24"/>
  <c r="O58" i="24"/>
  <c r="S58" i="24"/>
  <c r="W58" i="24"/>
  <c r="CB56" i="24"/>
  <c r="DA56" i="24"/>
  <c r="C61" i="24"/>
  <c r="C62" i="24"/>
  <c r="C63" i="24"/>
  <c r="AK60" i="24"/>
  <c r="AJ60" i="24"/>
  <c r="CA56" i="24"/>
  <c r="CZ56" i="24"/>
  <c r="CA55" i="24"/>
  <c r="CZ55" i="24"/>
  <c r="CA57" i="24"/>
  <c r="CZ57" i="24"/>
  <c r="CE57" i="24"/>
  <c r="DD57" i="24"/>
  <c r="CE56" i="24"/>
  <c r="DD56" i="24"/>
  <c r="CE55" i="24"/>
  <c r="DD55" i="24"/>
  <c r="BZ57" i="24"/>
  <c r="CY57" i="24"/>
  <c r="BZ56" i="24"/>
  <c r="CY56" i="24"/>
  <c r="BZ55" i="24"/>
  <c r="CY55" i="24"/>
  <c r="CD57" i="24"/>
  <c r="DC57" i="24"/>
  <c r="CD56" i="24"/>
  <c r="DC56" i="24"/>
  <c r="CD55" i="24"/>
  <c r="DC55" i="24"/>
  <c r="CC56" i="24"/>
  <c r="DB56" i="24"/>
  <c r="W63" i="24"/>
  <c r="S63" i="24"/>
  <c r="O63" i="24"/>
  <c r="K63" i="24"/>
  <c r="X63" i="24"/>
  <c r="T63" i="24"/>
  <c r="P63" i="24"/>
  <c r="L63" i="24"/>
  <c r="F29" i="26"/>
  <c r="CO56" i="24"/>
  <c r="BP57" i="24"/>
  <c r="BP55" i="24"/>
  <c r="CB55" i="24"/>
  <c r="DA55" i="24"/>
  <c r="CB57" i="24"/>
  <c r="DA57" i="24"/>
  <c r="N63" i="24"/>
  <c r="BS62" i="24"/>
  <c r="CR62" i="24"/>
  <c r="R63" i="24"/>
  <c r="BW61" i="24"/>
  <c r="CV61" i="24"/>
  <c r="V63" i="24"/>
  <c r="CA61" i="24"/>
  <c r="CZ61" i="24"/>
  <c r="Z63" i="24"/>
  <c r="CE60" i="24"/>
  <c r="DD60" i="24"/>
  <c r="M63" i="24"/>
  <c r="BR61" i="24"/>
  <c r="CQ61" i="24"/>
  <c r="Q63" i="24"/>
  <c r="BV61" i="24"/>
  <c r="CU61" i="24"/>
  <c r="U63" i="24"/>
  <c r="BZ61" i="24"/>
  <c r="CY61" i="24"/>
  <c r="Y63" i="24"/>
  <c r="CD61" i="24"/>
  <c r="DC61" i="24"/>
  <c r="CC55" i="24"/>
  <c r="DB55" i="24"/>
  <c r="BW60" i="24"/>
  <c r="CV60" i="24"/>
  <c r="BQ60" i="24"/>
  <c r="CP60" i="24"/>
  <c r="BQ62" i="24"/>
  <c r="CP62" i="24"/>
  <c r="BQ61" i="24"/>
  <c r="CP61" i="24"/>
  <c r="BU62" i="24"/>
  <c r="CT62" i="24"/>
  <c r="BU61" i="24"/>
  <c r="CT61" i="24"/>
  <c r="BU60" i="24"/>
  <c r="CT60" i="24"/>
  <c r="BY62" i="24"/>
  <c r="CX62" i="24"/>
  <c r="BY61" i="24"/>
  <c r="CX61" i="24"/>
  <c r="BY60" i="24"/>
  <c r="CX60" i="24"/>
  <c r="CC62" i="24"/>
  <c r="DB62" i="24"/>
  <c r="CC61" i="24"/>
  <c r="DB61" i="24"/>
  <c r="CC60" i="24"/>
  <c r="DB60" i="24"/>
  <c r="BP62" i="24"/>
  <c r="BP61" i="24"/>
  <c r="BP60" i="24"/>
  <c r="BT62" i="24"/>
  <c r="CS62" i="24"/>
  <c r="BT61" i="24"/>
  <c r="CS61" i="24"/>
  <c r="BT60" i="24"/>
  <c r="CS60" i="24"/>
  <c r="BX62" i="24"/>
  <c r="CW62" i="24"/>
  <c r="BX61" i="24"/>
  <c r="CW61" i="24"/>
  <c r="BX60" i="24"/>
  <c r="CW60" i="24"/>
  <c r="CB62" i="24"/>
  <c r="DA62" i="24"/>
  <c r="CB61" i="24"/>
  <c r="DA61" i="24"/>
  <c r="CB60" i="24"/>
  <c r="DA60" i="24"/>
  <c r="BS61" i="24"/>
  <c r="CR61" i="24"/>
  <c r="E30" i="26"/>
  <c r="CO60" i="24"/>
  <c r="G30" i="26"/>
  <c r="CO62" i="24"/>
  <c r="F30" i="26"/>
  <c r="CO61" i="24"/>
  <c r="G29" i="26"/>
  <c r="CO57" i="24"/>
  <c r="E29" i="26"/>
  <c r="CO55" i="24"/>
  <c r="BR60" i="24"/>
  <c r="CQ60" i="24"/>
  <c r="BZ62" i="24"/>
  <c r="CY62" i="24"/>
  <c r="CD60" i="24"/>
  <c r="DC60" i="24"/>
  <c r="BV62" i="24"/>
  <c r="CU62" i="24"/>
  <c r="CA60" i="24"/>
  <c r="CZ60" i="24"/>
  <c r="BZ60" i="24"/>
  <c r="CY60" i="24"/>
  <c r="BR62" i="24"/>
  <c r="CQ62" i="24"/>
  <c r="CE62" i="24"/>
  <c r="DD62" i="24"/>
  <c r="CE61" i="24"/>
  <c r="DD61" i="24"/>
  <c r="BS60" i="24"/>
  <c r="CR60" i="24"/>
  <c r="CD62" i="24"/>
  <c r="DC62" i="24"/>
  <c r="BV60" i="24"/>
  <c r="CU60" i="24"/>
  <c r="CA62" i="24"/>
  <c r="CZ62" i="24"/>
  <c r="BW62" i="24"/>
  <c r="CV62" i="24"/>
  <c r="C4" i="24"/>
  <c r="C5" i="24"/>
  <c r="AJ5" i="24"/>
  <c r="D90" i="5"/>
  <c r="D91" i="5"/>
  <c r="D92" i="5"/>
  <c r="D93" i="5"/>
  <c r="D94" i="5"/>
  <c r="D95" i="5"/>
  <c r="D96" i="5"/>
  <c r="D97" i="5"/>
  <c r="D98" i="5"/>
  <c r="D99" i="5"/>
  <c r="D100" i="5"/>
  <c r="D89" i="5"/>
  <c r="W16" i="25"/>
  <c r="W17" i="25"/>
  <c r="W15" i="25"/>
  <c r="V16" i="25"/>
  <c r="V17" i="25"/>
  <c r="V15" i="25"/>
  <c r="U17" i="25"/>
  <c r="U16" i="25"/>
  <c r="AC11" i="25"/>
  <c r="AC8" i="25"/>
  <c r="AC9" i="25"/>
  <c r="AC10" i="25"/>
  <c r="AC7" i="25"/>
  <c r="AB8" i="25"/>
  <c r="AB9" i="25"/>
  <c r="AB10" i="25"/>
  <c r="AB7" i="25"/>
  <c r="AA11" i="25"/>
  <c r="AA8" i="25"/>
  <c r="AA9" i="25"/>
  <c r="AA10" i="25"/>
  <c r="AA7" i="25"/>
  <c r="Z8" i="25"/>
  <c r="Z9" i="25"/>
  <c r="Z10" i="25"/>
  <c r="Z7" i="25"/>
  <c r="Y11" i="25"/>
  <c r="V18" i="25"/>
  <c r="T16" i="25"/>
  <c r="T7" i="25"/>
  <c r="T11" i="25"/>
  <c r="S11" i="25"/>
  <c r="S10" i="25"/>
  <c r="S9" i="25"/>
  <c r="S8" i="25"/>
  <c r="S7" i="25"/>
  <c r="BK62" i="24"/>
  <c r="EH62" i="24"/>
  <c r="BA62" i="24"/>
  <c r="DX62" i="24"/>
  <c r="AQ62" i="24"/>
  <c r="DN62" i="24"/>
  <c r="AO62" i="24"/>
  <c r="BN62" i="24"/>
  <c r="AH62" i="24"/>
  <c r="AE62" i="24"/>
  <c r="U62" i="24"/>
  <c r="P62" i="24"/>
  <c r="K62" i="24"/>
  <c r="BK61" i="24"/>
  <c r="EH61" i="24"/>
  <c r="BA61" i="24"/>
  <c r="DX61" i="24"/>
  <c r="AQ61" i="24"/>
  <c r="DN61" i="24"/>
  <c r="AO61" i="24"/>
  <c r="BN61" i="24"/>
  <c r="EK61" i="24"/>
  <c r="AK61" i="24"/>
  <c r="AK62" i="24"/>
  <c r="K61" i="24"/>
  <c r="I61" i="24"/>
  <c r="AH61" i="24"/>
  <c r="H61" i="24"/>
  <c r="AE61" i="24"/>
  <c r="G61" i="24"/>
  <c r="U61" i="24"/>
  <c r="F61" i="24"/>
  <c r="P61" i="24"/>
  <c r="E61" i="24"/>
  <c r="BN60" i="24"/>
  <c r="EK60" i="24"/>
  <c r="BK60" i="24"/>
  <c r="AQ60" i="24"/>
  <c r="DN60" i="24"/>
  <c r="BA60" i="24"/>
  <c r="AH60" i="24"/>
  <c r="AE60" i="24"/>
  <c r="U60" i="24"/>
  <c r="P60" i="24"/>
  <c r="K60" i="24"/>
  <c r="CM59" i="24"/>
  <c r="DL59" i="24"/>
  <c r="CL59" i="24"/>
  <c r="DK59" i="24"/>
  <c r="BP59" i="24"/>
  <c r="CO59" i="24"/>
  <c r="AS59" i="24"/>
  <c r="BR59" i="24"/>
  <c r="CQ59" i="24"/>
  <c r="AR59" i="24"/>
  <c r="BQ59" i="24"/>
  <c r="CP59" i="24"/>
  <c r="AN59" i="24"/>
  <c r="AM59" i="24"/>
  <c r="AL59" i="24"/>
  <c r="L59" i="24"/>
  <c r="M59" i="24"/>
  <c r="BK57" i="24"/>
  <c r="EH57" i="24"/>
  <c r="BA57" i="24"/>
  <c r="DX57" i="24"/>
  <c r="AQ57" i="24"/>
  <c r="DN57" i="24"/>
  <c r="AO57" i="24"/>
  <c r="BN57" i="24"/>
  <c r="EK57" i="24"/>
  <c r="AH57" i="24"/>
  <c r="AE57" i="24"/>
  <c r="U57" i="24"/>
  <c r="P57" i="24"/>
  <c r="BU57" i="24"/>
  <c r="CT57" i="24"/>
  <c r="K57" i="24"/>
  <c r="BK56" i="24"/>
  <c r="EH56" i="24"/>
  <c r="BA56" i="24"/>
  <c r="DX56" i="24"/>
  <c r="AQ56" i="24"/>
  <c r="DN56" i="24"/>
  <c r="AO56" i="24"/>
  <c r="BN56" i="24"/>
  <c r="AK56" i="24"/>
  <c r="AK57" i="24"/>
  <c r="I56" i="24"/>
  <c r="AH56" i="24"/>
  <c r="H56" i="24"/>
  <c r="AE56" i="24"/>
  <c r="G56" i="24"/>
  <c r="U56" i="24"/>
  <c r="F56" i="24"/>
  <c r="P56" i="24"/>
  <c r="BU56" i="24"/>
  <c r="CT56" i="24"/>
  <c r="E56" i="24"/>
  <c r="K56" i="24"/>
  <c r="BN55" i="24"/>
  <c r="EK55" i="24"/>
  <c r="BK55" i="24"/>
  <c r="AQ55" i="24"/>
  <c r="DN55" i="24"/>
  <c r="BA55" i="24"/>
  <c r="AH55" i="24"/>
  <c r="AE55" i="24"/>
  <c r="U55" i="24"/>
  <c r="P55" i="24"/>
  <c r="BU55" i="24"/>
  <c r="CT55" i="24"/>
  <c r="K55" i="24"/>
  <c r="CM54" i="24"/>
  <c r="DL54" i="24"/>
  <c r="CL54" i="24"/>
  <c r="DK54" i="24"/>
  <c r="BP54" i="24"/>
  <c r="CO54" i="24"/>
  <c r="AR54" i="24"/>
  <c r="AS54" i="24"/>
  <c r="AN54" i="24"/>
  <c r="AM54" i="24"/>
  <c r="AL54" i="24"/>
  <c r="M54" i="24"/>
  <c r="N54" i="24"/>
  <c r="L54" i="24"/>
  <c r="BK52" i="24"/>
  <c r="EH52" i="24"/>
  <c r="BA52" i="24"/>
  <c r="DX52" i="24"/>
  <c r="AO52" i="24"/>
  <c r="BN52" i="24"/>
  <c r="AL52" i="24"/>
  <c r="AQ52" i="24"/>
  <c r="AH52" i="24"/>
  <c r="AE52" i="24"/>
  <c r="U52" i="24"/>
  <c r="P52" i="24"/>
  <c r="K52" i="24"/>
  <c r="BN51" i="24"/>
  <c r="EK51" i="24"/>
  <c r="BK51" i="24"/>
  <c r="EH51" i="24"/>
  <c r="BA51" i="24"/>
  <c r="DX51" i="24"/>
  <c r="AO51" i="24"/>
  <c r="AL51" i="24"/>
  <c r="AQ51" i="24"/>
  <c r="AK51" i="24"/>
  <c r="AK52" i="24"/>
  <c r="I51" i="24"/>
  <c r="AH51" i="24"/>
  <c r="H51" i="24"/>
  <c r="AE51" i="24"/>
  <c r="G51" i="24"/>
  <c r="U51" i="24"/>
  <c r="F51" i="24"/>
  <c r="P51" i="24"/>
  <c r="E51" i="24"/>
  <c r="K51" i="24"/>
  <c r="BN50" i="24"/>
  <c r="EK50" i="24"/>
  <c r="BK50" i="24"/>
  <c r="EH50" i="24"/>
  <c r="AQ50" i="24"/>
  <c r="DN50" i="24"/>
  <c r="BA50" i="24"/>
  <c r="AH50" i="24"/>
  <c r="AE50" i="24"/>
  <c r="AG50" i="24"/>
  <c r="U50" i="24"/>
  <c r="P50" i="24"/>
  <c r="K50" i="24"/>
  <c r="CM49" i="24"/>
  <c r="DL49" i="24"/>
  <c r="CL49" i="24"/>
  <c r="DK49" i="24"/>
  <c r="BP49" i="24"/>
  <c r="CO49" i="24"/>
  <c r="AR49" i="24"/>
  <c r="BQ49" i="24"/>
  <c r="CP49" i="24"/>
  <c r="AN49" i="24"/>
  <c r="AM49" i="24"/>
  <c r="AL49" i="24"/>
  <c r="L49" i="24"/>
  <c r="M49" i="24"/>
  <c r="BK47" i="24"/>
  <c r="EH47" i="24"/>
  <c r="BA47" i="24"/>
  <c r="DX47" i="24"/>
  <c r="AO47" i="24"/>
  <c r="BN47" i="24"/>
  <c r="EK47" i="24"/>
  <c r="AQ47" i="24"/>
  <c r="AH47" i="24"/>
  <c r="AE47" i="24"/>
  <c r="U47" i="24"/>
  <c r="P47" i="24"/>
  <c r="K47" i="24"/>
  <c r="BK46" i="24"/>
  <c r="BA46" i="24"/>
  <c r="AO46" i="24"/>
  <c r="BN46" i="24"/>
  <c r="AQ46" i="24"/>
  <c r="AK46" i="24"/>
  <c r="AK47" i="24"/>
  <c r="I46" i="24"/>
  <c r="AH46" i="24"/>
  <c r="H46" i="24"/>
  <c r="AE46" i="24"/>
  <c r="G46" i="24"/>
  <c r="U46" i="24"/>
  <c r="F46" i="24"/>
  <c r="P46" i="24"/>
  <c r="E46" i="24"/>
  <c r="K46" i="24"/>
  <c r="BN45" i="24"/>
  <c r="EK45" i="24"/>
  <c r="BK45" i="24"/>
  <c r="AQ45" i="24"/>
  <c r="DN45" i="24"/>
  <c r="BA45" i="24"/>
  <c r="AH45" i="24"/>
  <c r="AE45" i="24"/>
  <c r="U45" i="24"/>
  <c r="P45" i="24"/>
  <c r="K45" i="24"/>
  <c r="CM44" i="24"/>
  <c r="DL44" i="24"/>
  <c r="CL44" i="24"/>
  <c r="DK44" i="24"/>
  <c r="BP44" i="24"/>
  <c r="CO44" i="24"/>
  <c r="AR44" i="24"/>
  <c r="AS44" i="24"/>
  <c r="AN44" i="24"/>
  <c r="AM44" i="24"/>
  <c r="AL44" i="24"/>
  <c r="M44" i="24"/>
  <c r="L44" i="24"/>
  <c r="BK42" i="24"/>
  <c r="BA42" i="24"/>
  <c r="AQ42" i="24"/>
  <c r="AO42" i="24"/>
  <c r="BN42" i="24"/>
  <c r="AH42" i="24"/>
  <c r="AE42" i="24"/>
  <c r="U42" i="24"/>
  <c r="P42" i="24"/>
  <c r="K42" i="24"/>
  <c r="BK41" i="24"/>
  <c r="EH41" i="24"/>
  <c r="BA41" i="24"/>
  <c r="DX41" i="24"/>
  <c r="AQ41" i="24"/>
  <c r="DN41" i="24"/>
  <c r="AO41" i="24"/>
  <c r="BN41" i="24"/>
  <c r="AK41" i="24"/>
  <c r="AK42" i="24"/>
  <c r="I41" i="24"/>
  <c r="AH41" i="24"/>
  <c r="H41" i="24"/>
  <c r="AE41" i="24"/>
  <c r="G41" i="24"/>
  <c r="U41" i="24"/>
  <c r="F41" i="24"/>
  <c r="P41" i="24"/>
  <c r="E41" i="24"/>
  <c r="K41" i="24"/>
  <c r="BN40" i="24"/>
  <c r="EK40" i="24"/>
  <c r="BK40" i="24"/>
  <c r="AQ40" i="24"/>
  <c r="DN40" i="24"/>
  <c r="BA40" i="24"/>
  <c r="AH40" i="24"/>
  <c r="AE40" i="24"/>
  <c r="U40" i="24"/>
  <c r="P40" i="24"/>
  <c r="K40" i="24"/>
  <c r="CM39" i="24"/>
  <c r="DL39" i="24"/>
  <c r="CL39" i="24"/>
  <c r="DK39" i="24"/>
  <c r="BP39" i="24"/>
  <c r="CO39" i="24"/>
  <c r="AR39" i="24"/>
  <c r="AS39" i="24"/>
  <c r="AN39" i="24"/>
  <c r="AM39" i="24"/>
  <c r="AL39" i="24"/>
  <c r="M39" i="24"/>
  <c r="N39" i="24"/>
  <c r="L39" i="24"/>
  <c r="BK37" i="24"/>
  <c r="BA37" i="24"/>
  <c r="AQ37" i="24"/>
  <c r="AO37" i="24"/>
  <c r="BN37" i="24"/>
  <c r="AE37" i="24"/>
  <c r="U37" i="24"/>
  <c r="P37" i="24"/>
  <c r="K37" i="24"/>
  <c r="I37" i="24"/>
  <c r="BK36" i="24"/>
  <c r="BA36" i="24"/>
  <c r="AQ36" i="24"/>
  <c r="AO36" i="24"/>
  <c r="BN36" i="24"/>
  <c r="AK36" i="24"/>
  <c r="AK37" i="24"/>
  <c r="AE36" i="24"/>
  <c r="U36" i="24"/>
  <c r="P36" i="24"/>
  <c r="K36" i="24"/>
  <c r="BN35" i="24"/>
  <c r="EK35" i="24"/>
  <c r="BK35" i="24"/>
  <c r="EH35" i="24"/>
  <c r="AQ35" i="24"/>
  <c r="DN35" i="24"/>
  <c r="BA35" i="24"/>
  <c r="AH35" i="24"/>
  <c r="AE35" i="24"/>
  <c r="AG35" i="24"/>
  <c r="U35" i="24"/>
  <c r="P35" i="24"/>
  <c r="K35" i="24"/>
  <c r="CO34" i="24"/>
  <c r="CM34" i="24"/>
  <c r="DL34" i="24"/>
  <c r="CL34" i="24"/>
  <c r="DK34" i="24"/>
  <c r="BP34" i="24"/>
  <c r="AR34" i="24"/>
  <c r="AS34" i="24"/>
  <c r="AN34" i="24"/>
  <c r="AM34" i="24"/>
  <c r="AL34" i="24"/>
  <c r="M34" i="24"/>
  <c r="L34" i="24"/>
  <c r="A34" i="24"/>
  <c r="BK32" i="24"/>
  <c r="BA32" i="24"/>
  <c r="AQ32" i="24"/>
  <c r="AO32" i="24"/>
  <c r="BN32" i="24"/>
  <c r="AH32" i="24"/>
  <c r="AE32" i="24"/>
  <c r="U32" i="24"/>
  <c r="P32" i="24"/>
  <c r="K32" i="24"/>
  <c r="BK31" i="24"/>
  <c r="EH31" i="24"/>
  <c r="BA31" i="24"/>
  <c r="DX31" i="24"/>
  <c r="AQ31" i="24"/>
  <c r="DN31" i="24"/>
  <c r="AO31" i="24"/>
  <c r="BN31" i="24"/>
  <c r="AK31" i="24"/>
  <c r="AK32" i="24"/>
  <c r="E31" i="24"/>
  <c r="K31" i="24"/>
  <c r="BN30" i="24"/>
  <c r="EK30" i="24"/>
  <c r="BK30" i="24"/>
  <c r="AQ30" i="24"/>
  <c r="DN30" i="24"/>
  <c r="BA30" i="24"/>
  <c r="K30" i="24"/>
  <c r="I31" i="24"/>
  <c r="AH31" i="24"/>
  <c r="H31" i="24"/>
  <c r="AE31" i="24"/>
  <c r="G31" i="24"/>
  <c r="U31" i="24"/>
  <c r="P30" i="24"/>
  <c r="CM29" i="24"/>
  <c r="DL29" i="24"/>
  <c r="CL29" i="24"/>
  <c r="DK29" i="24"/>
  <c r="BP29" i="24"/>
  <c r="CO29" i="24"/>
  <c r="AR29" i="24"/>
  <c r="AS29" i="24"/>
  <c r="AN29" i="24"/>
  <c r="AM29" i="24"/>
  <c r="AL29" i="24"/>
  <c r="M29" i="24"/>
  <c r="N29" i="24"/>
  <c r="L29" i="24"/>
  <c r="BK27" i="24"/>
  <c r="BA27" i="24"/>
  <c r="AQ27" i="24"/>
  <c r="AO27" i="24"/>
  <c r="BN27" i="24"/>
  <c r="AH27" i="24"/>
  <c r="AE27" i="24"/>
  <c r="U27" i="24"/>
  <c r="P27" i="24"/>
  <c r="K27" i="24"/>
  <c r="BK26" i="24"/>
  <c r="EH26" i="24"/>
  <c r="BA26" i="24"/>
  <c r="DX26" i="24"/>
  <c r="AQ26" i="24"/>
  <c r="DN26" i="24"/>
  <c r="AO26" i="24"/>
  <c r="BN26" i="24"/>
  <c r="AK26" i="24"/>
  <c r="AK27" i="24"/>
  <c r="E26" i="24"/>
  <c r="K26" i="24"/>
  <c r="BN25" i="24"/>
  <c r="EK25" i="24"/>
  <c r="BK25" i="24"/>
  <c r="BM25" i="24"/>
  <c r="EJ25" i="24"/>
  <c r="AQ25" i="24"/>
  <c r="DN25" i="24"/>
  <c r="BA25" i="24"/>
  <c r="K25" i="24"/>
  <c r="I26" i="24"/>
  <c r="AH26" i="24"/>
  <c r="H26" i="24"/>
  <c r="AE26" i="24"/>
  <c r="G26" i="24"/>
  <c r="U26" i="24"/>
  <c r="P25" i="24"/>
  <c r="CM24" i="24"/>
  <c r="DL24" i="24"/>
  <c r="CL24" i="24"/>
  <c r="DK24" i="24"/>
  <c r="BP24" i="24"/>
  <c r="CO24" i="24"/>
  <c r="AR24" i="24"/>
  <c r="AS24" i="24"/>
  <c r="AN24" i="24"/>
  <c r="AM24" i="24"/>
  <c r="AL24" i="24"/>
  <c r="M24" i="24"/>
  <c r="N24" i="24"/>
  <c r="L24" i="24"/>
  <c r="BK22" i="24"/>
  <c r="BA22" i="24"/>
  <c r="AQ22" i="24"/>
  <c r="AO22" i="24"/>
  <c r="BN22" i="24"/>
  <c r="AH22" i="24"/>
  <c r="AE22" i="24"/>
  <c r="U22" i="24"/>
  <c r="P22" i="24"/>
  <c r="K22" i="24"/>
  <c r="BK21" i="24"/>
  <c r="EH21" i="24"/>
  <c r="BA21" i="24"/>
  <c r="AQ21" i="24"/>
  <c r="DN21" i="24"/>
  <c r="AO21" i="24"/>
  <c r="BN21" i="24"/>
  <c r="AK21" i="24"/>
  <c r="AK22" i="24"/>
  <c r="E21" i="24"/>
  <c r="K21" i="24"/>
  <c r="DN20" i="24"/>
  <c r="BN20" i="24"/>
  <c r="EK20" i="24"/>
  <c r="BK20" i="24"/>
  <c r="BM20" i="24"/>
  <c r="EJ20" i="24"/>
  <c r="AQ20" i="24"/>
  <c r="BA20" i="24"/>
  <c r="K20" i="24"/>
  <c r="I21" i="24"/>
  <c r="AH21" i="24"/>
  <c r="H21" i="24"/>
  <c r="AE21" i="24"/>
  <c r="G21" i="24"/>
  <c r="U21" i="24"/>
  <c r="P20" i="24"/>
  <c r="CM19" i="24"/>
  <c r="DL19" i="24"/>
  <c r="CL19" i="24"/>
  <c r="DK19" i="24"/>
  <c r="BP19" i="24"/>
  <c r="CO19" i="24"/>
  <c r="AR19" i="24"/>
  <c r="AS19" i="24"/>
  <c r="AN19" i="24"/>
  <c r="AM19" i="24"/>
  <c r="AL19" i="24"/>
  <c r="M19" i="24"/>
  <c r="L19" i="24"/>
  <c r="BK17" i="24"/>
  <c r="BA17" i="24"/>
  <c r="AQ17" i="24"/>
  <c r="AO17" i="24"/>
  <c r="BN17" i="24"/>
  <c r="AH17" i="24"/>
  <c r="AE17" i="24"/>
  <c r="U17" i="24"/>
  <c r="P17" i="24"/>
  <c r="K17" i="24"/>
  <c r="BK16" i="24"/>
  <c r="EH16" i="24"/>
  <c r="BA16" i="24"/>
  <c r="DX16" i="24"/>
  <c r="AQ16" i="24"/>
  <c r="DN16" i="24"/>
  <c r="AO16" i="24"/>
  <c r="BN16" i="24"/>
  <c r="EK16" i="24"/>
  <c r="AK16" i="24"/>
  <c r="AK17" i="24"/>
  <c r="I16" i="24"/>
  <c r="AH16" i="24"/>
  <c r="H16" i="24"/>
  <c r="AE16" i="24"/>
  <c r="E16" i="24"/>
  <c r="K16" i="24"/>
  <c r="BP16" i="24"/>
  <c r="BN15" i="24"/>
  <c r="EK15" i="24"/>
  <c r="BK15" i="24"/>
  <c r="EH15" i="24"/>
  <c r="AQ15" i="24"/>
  <c r="DN15" i="24"/>
  <c r="BA15" i="24"/>
  <c r="AH15" i="24"/>
  <c r="AE15" i="24"/>
  <c r="K15" i="24"/>
  <c r="BP15" i="24"/>
  <c r="G16" i="24"/>
  <c r="U16" i="24"/>
  <c r="BZ16" i="24"/>
  <c r="CY16" i="24"/>
  <c r="CM14" i="24"/>
  <c r="DL14" i="24"/>
  <c r="CL14" i="24"/>
  <c r="DK14" i="24"/>
  <c r="BP14" i="24"/>
  <c r="CO14" i="24"/>
  <c r="AR14" i="24"/>
  <c r="AS14" i="24"/>
  <c r="AN14" i="24"/>
  <c r="AM14" i="24"/>
  <c r="AL14" i="24"/>
  <c r="L14" i="24"/>
  <c r="M14" i="24"/>
  <c r="N14" i="24"/>
  <c r="BK12" i="24"/>
  <c r="BA12" i="24"/>
  <c r="AQ12" i="24"/>
  <c r="AO12" i="24"/>
  <c r="BN12" i="24"/>
  <c r="AH12" i="24"/>
  <c r="AE12" i="24"/>
  <c r="U12" i="24"/>
  <c r="P12" i="24"/>
  <c r="K12" i="24"/>
  <c r="B12" i="24"/>
  <c r="BK11" i="24"/>
  <c r="EH11" i="24"/>
  <c r="BA11" i="24"/>
  <c r="DX11" i="24"/>
  <c r="AQ11" i="24"/>
  <c r="DN11" i="24"/>
  <c r="AO11" i="24"/>
  <c r="BN11" i="24"/>
  <c r="EK11" i="24"/>
  <c r="I11" i="24"/>
  <c r="AH11" i="24"/>
  <c r="H11" i="24"/>
  <c r="AE11" i="24"/>
  <c r="G11" i="24"/>
  <c r="U11" i="24"/>
  <c r="F11" i="24"/>
  <c r="P11" i="24"/>
  <c r="E11" i="24"/>
  <c r="K11" i="24"/>
  <c r="B11" i="24"/>
  <c r="B16" i="24"/>
  <c r="BN10" i="24"/>
  <c r="EK10" i="24"/>
  <c r="BK10" i="24"/>
  <c r="AQ10" i="24"/>
  <c r="DN10" i="24"/>
  <c r="BA10" i="24"/>
  <c r="AH10" i="24"/>
  <c r="AE10" i="24"/>
  <c r="AG10" i="24"/>
  <c r="U10" i="24"/>
  <c r="P10" i="24"/>
  <c r="K10" i="24"/>
  <c r="B10" i="24"/>
  <c r="CM9" i="24"/>
  <c r="DL9" i="24"/>
  <c r="CL9" i="24"/>
  <c r="DK9" i="24"/>
  <c r="BP9" i="24"/>
  <c r="CO9" i="24"/>
  <c r="AR9" i="24"/>
  <c r="AS9" i="24"/>
  <c r="BR9" i="24"/>
  <c r="CQ9" i="24"/>
  <c r="AN9" i="24"/>
  <c r="AM9" i="24"/>
  <c r="AL9" i="24"/>
  <c r="L9" i="24"/>
  <c r="M9" i="24"/>
  <c r="I9" i="24"/>
  <c r="BK7" i="24"/>
  <c r="EH7" i="24"/>
  <c r="BA7" i="24"/>
  <c r="AQ7" i="24"/>
  <c r="DN7" i="24"/>
  <c r="AO7" i="24"/>
  <c r="BN7" i="24"/>
  <c r="AH7" i="24"/>
  <c r="AE7" i="24"/>
  <c r="U7" i="24"/>
  <c r="P7" i="24"/>
  <c r="K7" i="24"/>
  <c r="BK6" i="24"/>
  <c r="EH6" i="24"/>
  <c r="BA6" i="24"/>
  <c r="AQ6" i="24"/>
  <c r="DN6" i="24"/>
  <c r="AO6" i="24"/>
  <c r="BN6" i="24"/>
  <c r="H6" i="24"/>
  <c r="AE6" i="24"/>
  <c r="G6" i="24"/>
  <c r="U6" i="24"/>
  <c r="F6" i="24"/>
  <c r="P6" i="24"/>
  <c r="E6" i="24"/>
  <c r="K6" i="24"/>
  <c r="BN5" i="24"/>
  <c r="EK5" i="24"/>
  <c r="BK5" i="24"/>
  <c r="EH5" i="24"/>
  <c r="AQ5" i="24"/>
  <c r="DN5" i="24"/>
  <c r="AM5" i="24"/>
  <c r="BA5" i="24"/>
  <c r="DX5" i="24"/>
  <c r="AE5" i="24"/>
  <c r="U5" i="24"/>
  <c r="P5" i="24"/>
  <c r="K5" i="24"/>
  <c r="AH5" i="24"/>
  <c r="EK4" i="24"/>
  <c r="EJ4" i="24"/>
  <c r="DN4" i="24"/>
  <c r="CM4" i="24"/>
  <c r="CM2" i="24"/>
  <c r="CL4" i="24"/>
  <c r="DK4" i="24"/>
  <c r="BP4" i="24"/>
  <c r="CO4" i="24"/>
  <c r="AT4" i="24"/>
  <c r="AU4" i="24"/>
  <c r="AR4" i="24"/>
  <c r="AS4" i="24"/>
  <c r="AO4" i="24"/>
  <c r="AN4" i="24"/>
  <c r="AM4" i="24"/>
  <c r="AL4" i="24"/>
  <c r="L4" i="24"/>
  <c r="M4" i="24"/>
  <c r="N4" i="24"/>
  <c r="O4" i="24"/>
  <c r="P4" i="24"/>
  <c r="CN2" i="24"/>
  <c r="CL2" i="24"/>
  <c r="BP2" i="24"/>
  <c r="AP2" i="24"/>
  <c r="F21" i="26"/>
  <c r="CO16" i="24"/>
  <c r="E21" i="26"/>
  <c r="CO15" i="24"/>
  <c r="BM10" i="24"/>
  <c r="EJ10" i="24"/>
  <c r="AH37" i="24"/>
  <c r="AG37" i="24"/>
  <c r="I36" i="24"/>
  <c r="AH36" i="24"/>
  <c r="AG12" i="24"/>
  <c r="AG5" i="24"/>
  <c r="I6" i="24"/>
  <c r="AH6" i="24"/>
  <c r="BM5" i="24"/>
  <c r="EJ5" i="24"/>
  <c r="EH10" i="24"/>
  <c r="P15" i="24"/>
  <c r="BU15" i="24"/>
  <c r="CT15" i="24"/>
  <c r="BM15" i="24"/>
  <c r="EJ15" i="24"/>
  <c r="U20" i="24"/>
  <c r="EH20" i="24"/>
  <c r="U25" i="24"/>
  <c r="BM30" i="24"/>
  <c r="EJ30" i="24"/>
  <c r="BM40" i="24"/>
  <c r="EJ40" i="24"/>
  <c r="BM45" i="24"/>
  <c r="EJ45" i="24"/>
  <c r="AS49" i="24"/>
  <c r="AT49" i="24"/>
  <c r="BM55" i="24"/>
  <c r="EJ55" i="24"/>
  <c r="AG60" i="24"/>
  <c r="BM60" i="24"/>
  <c r="EJ60" i="24"/>
  <c r="U15" i="24"/>
  <c r="BZ15" i="24"/>
  <c r="CY15" i="24"/>
  <c r="C6" i="24"/>
  <c r="C7" i="24"/>
  <c r="C8" i="24"/>
  <c r="AK5" i="24"/>
  <c r="AK6" i="24"/>
  <c r="AK7" i="24"/>
  <c r="A44" i="24"/>
  <c r="A19" i="24"/>
  <c r="A14" i="24"/>
  <c r="A5" i="24"/>
  <c r="A9" i="24"/>
  <c r="T15" i="25"/>
  <c r="AG11" i="24"/>
  <c r="L60" i="24"/>
  <c r="L57" i="24"/>
  <c r="BQ57" i="24"/>
  <c r="CP57" i="24"/>
  <c r="L50" i="24"/>
  <c r="L47" i="24"/>
  <c r="L35" i="24"/>
  <c r="EK7" i="24"/>
  <c r="BM7" i="24"/>
  <c r="EJ7" i="24"/>
  <c r="BQ9" i="24"/>
  <c r="CP9" i="24"/>
  <c r="L10" i="24"/>
  <c r="L11" i="24"/>
  <c r="L12" i="24"/>
  <c r="DN12" i="24"/>
  <c r="EH12" i="24"/>
  <c r="O14" i="24"/>
  <c r="BR14" i="24"/>
  <c r="CQ14" i="24"/>
  <c r="AT14" i="24"/>
  <c r="L15" i="24"/>
  <c r="BQ15" i="24"/>
  <c r="CP15" i="24"/>
  <c r="DX15" i="24"/>
  <c r="BR19" i="24"/>
  <c r="CQ19" i="24"/>
  <c r="AT19" i="24"/>
  <c r="L20" i="24"/>
  <c r="M20" i="24"/>
  <c r="N20" i="24"/>
  <c r="O20" i="24"/>
  <c r="AG21" i="24"/>
  <c r="DX20" i="24"/>
  <c r="DR4" i="24"/>
  <c r="BT4" i="24"/>
  <c r="BS4" i="24"/>
  <c r="DQ4" i="24"/>
  <c r="L5" i="24"/>
  <c r="EK6" i="24"/>
  <c r="BM6" i="24"/>
  <c r="EJ6" i="24"/>
  <c r="Q4" i="24"/>
  <c r="DP4" i="24"/>
  <c r="BR4" i="24"/>
  <c r="AV4" i="24"/>
  <c r="BQ4" i="24"/>
  <c r="DL4" i="24"/>
  <c r="DO4" i="24"/>
  <c r="M5" i="24"/>
  <c r="N5" i="24"/>
  <c r="AG6" i="24"/>
  <c r="L6" i="24"/>
  <c r="M6" i="24"/>
  <c r="DX6" i="24"/>
  <c r="L7" i="24"/>
  <c r="M7" i="24"/>
  <c r="AG7" i="24"/>
  <c r="DX7" i="24"/>
  <c r="AO9" i="24"/>
  <c r="I14" i="24"/>
  <c r="N9" i="24"/>
  <c r="AT9" i="24"/>
  <c r="B15" i="24"/>
  <c r="M10" i="24"/>
  <c r="DX10" i="24"/>
  <c r="B21" i="24"/>
  <c r="M11" i="24"/>
  <c r="B17" i="24"/>
  <c r="M12" i="24"/>
  <c r="EK12" i="24"/>
  <c r="DX12" i="24"/>
  <c r="BM12" i="24"/>
  <c r="EJ12" i="24"/>
  <c r="AG16" i="24"/>
  <c r="EK17" i="24"/>
  <c r="BQ14" i="24"/>
  <c r="CP14" i="24"/>
  <c r="AG15" i="24"/>
  <c r="F16" i="24"/>
  <c r="P16" i="24"/>
  <c r="BU16" i="24"/>
  <c r="CT16" i="24"/>
  <c r="AG17" i="24"/>
  <c r="AJ17" i="24"/>
  <c r="BM17" i="24"/>
  <c r="EJ17" i="24"/>
  <c r="DN17" i="24"/>
  <c r="DX17" i="24"/>
  <c r="EH17" i="24"/>
  <c r="BQ19" i="24"/>
  <c r="CP19" i="24"/>
  <c r="AE20" i="24"/>
  <c r="F21" i="24"/>
  <c r="P21" i="24"/>
  <c r="EK26" i="24"/>
  <c r="DX30" i="24"/>
  <c r="EK31" i="24"/>
  <c r="BR34" i="24"/>
  <c r="CQ34" i="24"/>
  <c r="AT34" i="24"/>
  <c r="BM11" i="24"/>
  <c r="EJ11" i="24"/>
  <c r="BM16" i="24"/>
  <c r="EJ16" i="24"/>
  <c r="L17" i="24"/>
  <c r="N19" i="24"/>
  <c r="AH20" i="24"/>
  <c r="EK21" i="24"/>
  <c r="DX21" i="24"/>
  <c r="EK22" i="24"/>
  <c r="O24" i="24"/>
  <c r="BR24" i="24"/>
  <c r="CQ24" i="24"/>
  <c r="AT24" i="24"/>
  <c r="N25" i="24"/>
  <c r="L25" i="24"/>
  <c r="O25" i="24"/>
  <c r="M25" i="24"/>
  <c r="AG26" i="24"/>
  <c r="DX25" i="24"/>
  <c r="EK27" i="24"/>
  <c r="O29" i="24"/>
  <c r="BR29" i="24"/>
  <c r="CQ29" i="24"/>
  <c r="AT29" i="24"/>
  <c r="N30" i="24"/>
  <c r="O30" i="24"/>
  <c r="L30" i="24"/>
  <c r="M30" i="24"/>
  <c r="AG31" i="24"/>
  <c r="EK32" i="24"/>
  <c r="AG22" i="24"/>
  <c r="AJ22" i="24"/>
  <c r="BM22" i="24"/>
  <c r="EJ22" i="24"/>
  <c r="DN22" i="24"/>
  <c r="DX22" i="24"/>
  <c r="EH22" i="24"/>
  <c r="A24" i="24"/>
  <c r="BQ24" i="24"/>
  <c r="CP24" i="24"/>
  <c r="AE25" i="24"/>
  <c r="EH25" i="24"/>
  <c r="F26" i="24"/>
  <c r="P26" i="24"/>
  <c r="AG27" i="24"/>
  <c r="AJ27" i="24"/>
  <c r="BM27" i="24"/>
  <c r="EJ27" i="24"/>
  <c r="DN27" i="24"/>
  <c r="DX27" i="24"/>
  <c r="EH27" i="24"/>
  <c r="A29" i="24"/>
  <c r="BQ29" i="24"/>
  <c r="CP29" i="24"/>
  <c r="U30" i="24"/>
  <c r="AE30" i="24"/>
  <c r="EH30" i="24"/>
  <c r="F31" i="24"/>
  <c r="P31" i="24"/>
  <c r="AG32" i="24"/>
  <c r="AJ32" i="24"/>
  <c r="BM32" i="24"/>
  <c r="EJ32" i="24"/>
  <c r="DN32" i="24"/>
  <c r="DX32" i="24"/>
  <c r="EH32" i="24"/>
  <c r="BQ34" i="24"/>
  <c r="CP34" i="24"/>
  <c r="AG36" i="24"/>
  <c r="EK36" i="24"/>
  <c r="DX40" i="24"/>
  <c r="EK41" i="24"/>
  <c r="BR44" i="24"/>
  <c r="CQ44" i="24"/>
  <c r="AT44" i="24"/>
  <c r="L46" i="24"/>
  <c r="M46" i="24"/>
  <c r="AG46" i="24"/>
  <c r="EK46" i="24"/>
  <c r="BM21" i="24"/>
  <c r="EJ21" i="24"/>
  <c r="L22" i="24"/>
  <c r="M22" i="24"/>
  <c r="AH25" i="24"/>
  <c r="BM26" i="24"/>
  <c r="EJ26" i="24"/>
  <c r="L27" i="24"/>
  <c r="AH30" i="24"/>
  <c r="BM31" i="24"/>
  <c r="EJ31" i="24"/>
  <c r="L32" i="24"/>
  <c r="N34" i="24"/>
  <c r="DX35" i="24"/>
  <c r="L36" i="24"/>
  <c r="M36" i="24"/>
  <c r="EK37" i="24"/>
  <c r="O39" i="24"/>
  <c r="BR39" i="24"/>
  <c r="CQ39" i="24"/>
  <c r="AT39" i="24"/>
  <c r="L41" i="24"/>
  <c r="M41" i="24"/>
  <c r="AG41" i="24"/>
  <c r="EK42" i="24"/>
  <c r="DX45" i="24"/>
  <c r="BM35" i="24"/>
  <c r="EJ35" i="24"/>
  <c r="BM36" i="24"/>
  <c r="EJ36" i="24"/>
  <c r="DN36" i="24"/>
  <c r="DX36" i="24"/>
  <c r="EH36" i="24"/>
  <c r="AJ37" i="24"/>
  <c r="BM37" i="24"/>
  <c r="EJ37" i="24"/>
  <c r="DN37" i="24"/>
  <c r="DX37" i="24"/>
  <c r="EH37" i="24"/>
  <c r="A39" i="24"/>
  <c r="BQ39" i="24"/>
  <c r="CP39" i="24"/>
  <c r="AG40" i="24"/>
  <c r="EH40" i="24"/>
  <c r="AG42" i="24"/>
  <c r="AJ42" i="24"/>
  <c r="BM42" i="24"/>
  <c r="EJ42" i="24"/>
  <c r="DN42" i="24"/>
  <c r="DX42" i="24"/>
  <c r="EH42" i="24"/>
  <c r="BQ44" i="24"/>
  <c r="CP44" i="24"/>
  <c r="AG45" i="24"/>
  <c r="EH45" i="24"/>
  <c r="BM46" i="24"/>
  <c r="EJ46" i="24"/>
  <c r="DN46" i="24"/>
  <c r="DX46" i="24"/>
  <c r="EH46" i="24"/>
  <c r="DN47" i="24"/>
  <c r="BS49" i="24"/>
  <c r="CR49" i="24"/>
  <c r="AU49" i="24"/>
  <c r="L51" i="24"/>
  <c r="EK52" i="24"/>
  <c r="M35" i="24"/>
  <c r="N35" i="24"/>
  <c r="O35" i="24"/>
  <c r="L37" i="24"/>
  <c r="L40" i="24"/>
  <c r="BM41" i="24"/>
  <c r="EJ41" i="24"/>
  <c r="L42" i="24"/>
  <c r="N44" i="24"/>
  <c r="L45" i="24"/>
  <c r="M47" i="24"/>
  <c r="AG47" i="24"/>
  <c r="AJ47" i="24"/>
  <c r="N49" i="24"/>
  <c r="DX50" i="24"/>
  <c r="AG51" i="24"/>
  <c r="DN51" i="24"/>
  <c r="DN52" i="24"/>
  <c r="BR49" i="24"/>
  <c r="CQ49" i="24"/>
  <c r="BM50" i="24"/>
  <c r="EJ50" i="24"/>
  <c r="AG52" i="24"/>
  <c r="AJ52" i="24"/>
  <c r="DX55" i="24"/>
  <c r="L56" i="24"/>
  <c r="N59" i="24"/>
  <c r="DX60" i="24"/>
  <c r="BM47" i="24"/>
  <c r="EJ47" i="24"/>
  <c r="A49" i="24"/>
  <c r="M50" i="24"/>
  <c r="N50" i="24"/>
  <c r="O50" i="24"/>
  <c r="M51" i="24"/>
  <c r="BM51" i="24"/>
  <c r="EJ51" i="24"/>
  <c r="L52" i="24"/>
  <c r="BM52" i="24"/>
  <c r="EJ52" i="24"/>
  <c r="O54" i="24"/>
  <c r="BR54" i="24"/>
  <c r="CQ54" i="24"/>
  <c r="AT54" i="24"/>
  <c r="AG56" i="24"/>
  <c r="EK56" i="24"/>
  <c r="A54" i="24"/>
  <c r="BQ54" i="24"/>
  <c r="CP54" i="24"/>
  <c r="AG55" i="24"/>
  <c r="EH55" i="24"/>
  <c r="M57" i="24"/>
  <c r="BR57" i="24"/>
  <c r="CQ57" i="24"/>
  <c r="AG57" i="24"/>
  <c r="AJ57" i="24"/>
  <c r="BM57" i="24"/>
  <c r="EJ57" i="24"/>
  <c r="A59" i="24"/>
  <c r="AT59" i="24"/>
  <c r="M60" i="24"/>
  <c r="N60" i="24"/>
  <c r="EH60" i="24"/>
  <c r="EK62" i="24"/>
  <c r="L55" i="24"/>
  <c r="BM56" i="24"/>
  <c r="EJ56" i="24"/>
  <c r="L61" i="24"/>
  <c r="AG61" i="24"/>
  <c r="BM61" i="24"/>
  <c r="EJ61" i="24"/>
  <c r="L62" i="24"/>
  <c r="AG62" i="24"/>
  <c r="AJ62" i="24"/>
  <c r="BM62" i="24"/>
  <c r="EJ62" i="24"/>
  <c r="M15" i="24"/>
  <c r="M56" i="24"/>
  <c r="BR56" i="24"/>
  <c r="CQ56" i="24"/>
  <c r="BQ56" i="24"/>
  <c r="CP56" i="24"/>
  <c r="M55" i="24"/>
  <c r="BR55" i="24"/>
  <c r="CQ55" i="24"/>
  <c r="BQ55" i="24"/>
  <c r="CP55" i="24"/>
  <c r="L8" i="24"/>
  <c r="N8" i="24"/>
  <c r="P8" i="24"/>
  <c r="R8" i="24"/>
  <c r="T8" i="24"/>
  <c r="V8" i="24"/>
  <c r="X8" i="24"/>
  <c r="Z8" i="24"/>
  <c r="M8" i="24"/>
  <c r="O8" i="24"/>
  <c r="Q8" i="24"/>
  <c r="S8" i="24"/>
  <c r="U8" i="24"/>
  <c r="W8" i="24"/>
  <c r="Y8" i="24"/>
  <c r="K8" i="24"/>
  <c r="AJ7" i="24"/>
  <c r="N22" i="24"/>
  <c r="N7" i="24"/>
  <c r="N6" i="24"/>
  <c r="O5" i="24"/>
  <c r="O60" i="24"/>
  <c r="AU59" i="24"/>
  <c r="BS59" i="24"/>
  <c r="CR59" i="24"/>
  <c r="AU54" i="24"/>
  <c r="BS54" i="24"/>
  <c r="CR54" i="24"/>
  <c r="P54" i="24"/>
  <c r="O49" i="24"/>
  <c r="O44" i="24"/>
  <c r="M45" i="24"/>
  <c r="M42" i="24"/>
  <c r="M40" i="24"/>
  <c r="N41" i="24"/>
  <c r="AU39" i="24"/>
  <c r="BS39" i="24"/>
  <c r="CR39" i="24"/>
  <c r="P39" i="24"/>
  <c r="A28" i="24"/>
  <c r="AU44" i="24"/>
  <c r="BS44" i="24"/>
  <c r="CR44" i="24"/>
  <c r="M32" i="24"/>
  <c r="L31" i="24"/>
  <c r="M31" i="24"/>
  <c r="M27" i="24"/>
  <c r="L26" i="24"/>
  <c r="M26" i="24"/>
  <c r="O19" i="24"/>
  <c r="A18" i="24"/>
  <c r="A11" i="24"/>
  <c r="L21" i="24"/>
  <c r="M21" i="24"/>
  <c r="N21" i="24"/>
  <c r="O21" i="24"/>
  <c r="L16" i="24"/>
  <c r="BQ16" i="24"/>
  <c r="CP16" i="24"/>
  <c r="A16" i="24"/>
  <c r="A10" i="24"/>
  <c r="AO14" i="24"/>
  <c r="I19" i="24"/>
  <c r="BQ2" i="24"/>
  <c r="CP4" i="24"/>
  <c r="CQ4" i="24"/>
  <c r="BR2" i="24"/>
  <c r="R4" i="24"/>
  <c r="BS2" i="24"/>
  <c r="CR4" i="24"/>
  <c r="AU14" i="24"/>
  <c r="BS14" i="24"/>
  <c r="P14" i="24"/>
  <c r="N12" i="24"/>
  <c r="N11" i="24"/>
  <c r="N10" i="24"/>
  <c r="A6" i="24"/>
  <c r="M62" i="24"/>
  <c r="M61" i="24"/>
  <c r="A63" i="24"/>
  <c r="A58" i="24"/>
  <c r="O59" i="24"/>
  <c r="M52" i="24"/>
  <c r="A53" i="24"/>
  <c r="A48" i="24"/>
  <c r="A43" i="24"/>
  <c r="N51" i="24"/>
  <c r="AV49" i="24"/>
  <c r="BT49" i="24"/>
  <c r="CS49" i="24"/>
  <c r="M37" i="24"/>
  <c r="N36" i="24"/>
  <c r="O34" i="24"/>
  <c r="A38" i="24"/>
  <c r="A33" i="24"/>
  <c r="N46" i="24"/>
  <c r="AG30" i="24"/>
  <c r="AG25" i="24"/>
  <c r="AU29" i="24"/>
  <c r="BS29" i="24"/>
  <c r="P29" i="24"/>
  <c r="AU24" i="24"/>
  <c r="BS24" i="24"/>
  <c r="P24" i="24"/>
  <c r="A23" i="24"/>
  <c r="AU34" i="24"/>
  <c r="BS34" i="24"/>
  <c r="CR34" i="24"/>
  <c r="AG20" i="24"/>
  <c r="M17" i="24"/>
  <c r="B22" i="24"/>
  <c r="A17" i="24"/>
  <c r="B26" i="24"/>
  <c r="A21" i="24"/>
  <c r="A15" i="24"/>
  <c r="B20" i="24"/>
  <c r="AU9" i="24"/>
  <c r="BS9" i="24"/>
  <c r="CR9" i="24"/>
  <c r="O9" i="24"/>
  <c r="AW4" i="24"/>
  <c r="DS4" i="24"/>
  <c r="BU4" i="24"/>
  <c r="CS4" i="24"/>
  <c r="BT2" i="24"/>
  <c r="AU19" i="24"/>
  <c r="BS19" i="24"/>
  <c r="N47" i="24"/>
  <c r="N57" i="24"/>
  <c r="BS57" i="24"/>
  <c r="CR57" i="24"/>
  <c r="N34" i="5"/>
  <c r="N33" i="5"/>
  <c r="O5" i="5"/>
  <c r="O6" i="5"/>
  <c r="O7" i="5"/>
  <c r="O8" i="5"/>
  <c r="AC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3" i="5"/>
  <c r="AC7" i="5"/>
  <c r="AO4" i="8"/>
  <c r="AP4" i="8"/>
  <c r="AQ4" i="8"/>
  <c r="AR4" i="8"/>
  <c r="AS4" i="8"/>
  <c r="AC19" i="20"/>
  <c r="D82" i="8"/>
  <c r="E82" i="8"/>
  <c r="F82" i="8"/>
  <c r="G82" i="8"/>
  <c r="H82" i="8"/>
  <c r="I82" i="8"/>
  <c r="J82" i="8"/>
  <c r="K82" i="8"/>
  <c r="L82" i="8"/>
  <c r="M82" i="8"/>
  <c r="C84" i="8"/>
  <c r="D84" i="8"/>
  <c r="E84" i="8"/>
  <c r="F84" i="8"/>
  <c r="G84" i="8"/>
  <c r="H84" i="8"/>
  <c r="I84" i="8"/>
  <c r="J84" i="8"/>
  <c r="K84" i="8"/>
  <c r="L84" i="8"/>
  <c r="M84" i="8"/>
  <c r="D75" i="8"/>
  <c r="E75" i="8"/>
  <c r="F75" i="8"/>
  <c r="G75" i="8"/>
  <c r="H75" i="8"/>
  <c r="I75" i="8"/>
  <c r="J75" i="8"/>
  <c r="K75" i="8"/>
  <c r="L75" i="8"/>
  <c r="M75" i="8"/>
  <c r="C77" i="8"/>
  <c r="D77" i="8"/>
  <c r="E77" i="8"/>
  <c r="F77" i="8"/>
  <c r="G77" i="8"/>
  <c r="H77" i="8"/>
  <c r="I77" i="8"/>
  <c r="J77" i="8"/>
  <c r="K77" i="8"/>
  <c r="L77" i="8"/>
  <c r="M77" i="8"/>
  <c r="D68" i="8"/>
  <c r="E68" i="8"/>
  <c r="F68" i="8"/>
  <c r="G68" i="8"/>
  <c r="H68" i="8"/>
  <c r="I68" i="8"/>
  <c r="J68" i="8"/>
  <c r="K68" i="8"/>
  <c r="L68" i="8"/>
  <c r="M68" i="8"/>
  <c r="C70" i="8"/>
  <c r="D70" i="8"/>
  <c r="E70" i="8"/>
  <c r="F70" i="8"/>
  <c r="G70" i="8"/>
  <c r="H70" i="8"/>
  <c r="I70" i="8"/>
  <c r="J70" i="8"/>
  <c r="K70" i="8"/>
  <c r="L70" i="8"/>
  <c r="M70" i="8"/>
  <c r="D61" i="8"/>
  <c r="E61" i="8"/>
  <c r="F61" i="8"/>
  <c r="G61" i="8"/>
  <c r="H61" i="8"/>
  <c r="I61" i="8"/>
  <c r="J61" i="8"/>
  <c r="K61" i="8"/>
  <c r="L61" i="8"/>
  <c r="M61" i="8"/>
  <c r="C63" i="8"/>
  <c r="D63" i="8"/>
  <c r="E63" i="8"/>
  <c r="F63" i="8"/>
  <c r="G63" i="8"/>
  <c r="H63" i="8"/>
  <c r="I63" i="8"/>
  <c r="J63" i="8"/>
  <c r="K63" i="8"/>
  <c r="L63" i="8"/>
  <c r="M63" i="8"/>
  <c r="D54" i="8"/>
  <c r="E54" i="8"/>
  <c r="F54" i="8"/>
  <c r="G54" i="8"/>
  <c r="H54" i="8"/>
  <c r="I54" i="8"/>
  <c r="J54" i="8"/>
  <c r="K54" i="8"/>
  <c r="L54" i="8"/>
  <c r="M54" i="8"/>
  <c r="C56" i="8"/>
  <c r="D56" i="8"/>
  <c r="E56" i="8"/>
  <c r="F56" i="8"/>
  <c r="G56" i="8"/>
  <c r="H56" i="8"/>
  <c r="I56" i="8"/>
  <c r="J56" i="8"/>
  <c r="K56" i="8"/>
  <c r="L56" i="8"/>
  <c r="M56" i="8"/>
  <c r="D47" i="8"/>
  <c r="E47" i="8"/>
  <c r="F47" i="8"/>
  <c r="G47" i="8"/>
  <c r="H47" i="8"/>
  <c r="I47" i="8"/>
  <c r="J47" i="8"/>
  <c r="K47" i="8"/>
  <c r="L47" i="8"/>
  <c r="M47" i="8"/>
  <c r="C49" i="8"/>
  <c r="D49" i="8"/>
  <c r="E49" i="8"/>
  <c r="F49" i="8"/>
  <c r="G49" i="8"/>
  <c r="H49" i="8"/>
  <c r="I49" i="8"/>
  <c r="J49" i="8"/>
  <c r="K49" i="8"/>
  <c r="L49" i="8"/>
  <c r="M49" i="8"/>
  <c r="D40" i="8"/>
  <c r="E40" i="8"/>
  <c r="F40" i="8"/>
  <c r="G40" i="8"/>
  <c r="H40" i="8"/>
  <c r="I40" i="8"/>
  <c r="J40" i="8"/>
  <c r="K40" i="8"/>
  <c r="L40" i="8"/>
  <c r="M40" i="8"/>
  <c r="C42" i="8"/>
  <c r="D42" i="8"/>
  <c r="E42" i="8"/>
  <c r="F42" i="8"/>
  <c r="G42" i="8"/>
  <c r="H42" i="8"/>
  <c r="I42" i="8"/>
  <c r="J42" i="8"/>
  <c r="K42" i="8"/>
  <c r="L42" i="8"/>
  <c r="M42" i="8"/>
  <c r="D33" i="8"/>
  <c r="E33" i="8"/>
  <c r="F33" i="8"/>
  <c r="G33" i="8"/>
  <c r="H33" i="8"/>
  <c r="I33" i="8"/>
  <c r="J33" i="8"/>
  <c r="K33" i="8"/>
  <c r="L33" i="8"/>
  <c r="M33" i="8"/>
  <c r="C35" i="8"/>
  <c r="D35" i="8"/>
  <c r="E35" i="8"/>
  <c r="F35" i="8"/>
  <c r="G35" i="8"/>
  <c r="H35" i="8"/>
  <c r="I35" i="8"/>
  <c r="J35" i="8"/>
  <c r="K35" i="8"/>
  <c r="L35" i="8"/>
  <c r="M35" i="8"/>
  <c r="D26" i="8"/>
  <c r="E26" i="8"/>
  <c r="F26" i="8"/>
  <c r="G26" i="8"/>
  <c r="H26" i="8"/>
  <c r="I26" i="8"/>
  <c r="J26" i="8"/>
  <c r="K26" i="8"/>
  <c r="L26" i="8"/>
  <c r="M26" i="8"/>
  <c r="C28" i="8"/>
  <c r="D28" i="8"/>
  <c r="E28" i="8"/>
  <c r="F28" i="8"/>
  <c r="G28" i="8"/>
  <c r="H28" i="8"/>
  <c r="I28" i="8"/>
  <c r="J28" i="8"/>
  <c r="K28" i="8"/>
  <c r="L28" i="8"/>
  <c r="M28" i="8"/>
  <c r="D19" i="8"/>
  <c r="E19" i="8"/>
  <c r="F19" i="8"/>
  <c r="G19" i="8"/>
  <c r="H19" i="8"/>
  <c r="I19" i="8"/>
  <c r="J19" i="8"/>
  <c r="K19" i="8"/>
  <c r="L19" i="8"/>
  <c r="M19" i="8"/>
  <c r="C21" i="8"/>
  <c r="D21" i="8"/>
  <c r="E21" i="8"/>
  <c r="F21" i="8"/>
  <c r="G21" i="8"/>
  <c r="H21" i="8"/>
  <c r="I21" i="8"/>
  <c r="J21" i="8"/>
  <c r="K21" i="8"/>
  <c r="L21" i="8"/>
  <c r="M21" i="8"/>
  <c r="D12" i="8"/>
  <c r="E12" i="8"/>
  <c r="F12" i="8"/>
  <c r="G12" i="8"/>
  <c r="H12" i="8"/>
  <c r="I12" i="8"/>
  <c r="J12" i="8"/>
  <c r="K12" i="8"/>
  <c r="L12" i="8"/>
  <c r="M12" i="8"/>
  <c r="C14" i="8"/>
  <c r="D14" i="8"/>
  <c r="E14" i="8"/>
  <c r="F14" i="8"/>
  <c r="G14" i="8"/>
  <c r="H14" i="8"/>
  <c r="I14" i="8"/>
  <c r="J14" i="8"/>
  <c r="K14" i="8"/>
  <c r="L14" i="8"/>
  <c r="M14" i="8"/>
  <c r="AD7" i="8"/>
  <c r="AE7" i="8"/>
  <c r="AF7" i="8"/>
  <c r="N15" i="24"/>
  <c r="BR15" i="24"/>
  <c r="CQ15" i="24"/>
  <c r="AC9" i="5"/>
  <c r="AC15" i="5"/>
  <c r="N56" i="24"/>
  <c r="BS56" i="24"/>
  <c r="CR56" i="24"/>
  <c r="N55" i="24"/>
  <c r="BS55" i="24"/>
  <c r="CR55" i="24"/>
  <c r="AC19" i="5"/>
  <c r="AC11" i="5"/>
  <c r="BP7" i="24"/>
  <c r="BP6" i="24"/>
  <c r="BP5" i="24"/>
  <c r="CB7" i="24"/>
  <c r="DA7" i="24"/>
  <c r="DA67" i="24"/>
  <c r="CB5" i="24"/>
  <c r="DA5" i="24"/>
  <c r="CB6" i="24"/>
  <c r="DA6" i="24"/>
  <c r="BX7" i="24"/>
  <c r="CW7" i="24"/>
  <c r="BX5" i="24"/>
  <c r="CW5" i="24"/>
  <c r="BX6" i="24"/>
  <c r="CW6" i="24"/>
  <c r="BT7" i="24"/>
  <c r="CS7" i="24"/>
  <c r="BT5" i="24"/>
  <c r="CS5" i="24"/>
  <c r="BT6" i="24"/>
  <c r="CS6" i="24"/>
  <c r="CE6" i="24"/>
  <c r="DD6" i="24"/>
  <c r="CE5" i="24"/>
  <c r="DD5" i="24"/>
  <c r="CE7" i="24"/>
  <c r="DD7" i="24"/>
  <c r="DD67" i="24"/>
  <c r="CA6" i="24"/>
  <c r="CZ6" i="24"/>
  <c r="CA5" i="24"/>
  <c r="CZ5" i="24"/>
  <c r="CA7" i="24"/>
  <c r="CZ7" i="24"/>
  <c r="CZ67" i="24"/>
  <c r="BW5" i="24"/>
  <c r="CV5" i="24"/>
  <c r="BW6" i="24"/>
  <c r="CV6" i="24"/>
  <c r="BW7" i="24"/>
  <c r="CV7" i="24"/>
  <c r="BS7" i="24"/>
  <c r="CR7" i="24"/>
  <c r="CR67" i="24"/>
  <c r="BS5" i="24"/>
  <c r="CR5" i="24"/>
  <c r="BS6" i="24"/>
  <c r="CR6" i="24"/>
  <c r="AC21" i="5"/>
  <c r="AC17" i="5"/>
  <c r="AC13" i="5"/>
  <c r="CD6" i="24"/>
  <c r="DC6" i="24"/>
  <c r="CD7" i="24"/>
  <c r="DC7" i="24"/>
  <c r="DC67" i="24"/>
  <c r="CD5" i="24"/>
  <c r="DC5" i="24"/>
  <c r="BZ6" i="24"/>
  <c r="CY6" i="24"/>
  <c r="CY66" i="24"/>
  <c r="BZ7" i="24"/>
  <c r="CY7" i="24"/>
  <c r="CY67" i="24"/>
  <c r="BZ5" i="24"/>
  <c r="CY5" i="24"/>
  <c r="CY65" i="24"/>
  <c r="BV6" i="24"/>
  <c r="CU6" i="24"/>
  <c r="BV7" i="24"/>
  <c r="CU7" i="24"/>
  <c r="BV5" i="24"/>
  <c r="CU5" i="24"/>
  <c r="BR6" i="24"/>
  <c r="CQ6" i="24"/>
  <c r="BR7" i="24"/>
  <c r="CQ7" i="24"/>
  <c r="CQ67" i="24"/>
  <c r="BR5" i="24"/>
  <c r="CQ5" i="24"/>
  <c r="CC7" i="24"/>
  <c r="DB7" i="24"/>
  <c r="DB67" i="24"/>
  <c r="CC5" i="24"/>
  <c r="DB5" i="24"/>
  <c r="CC6" i="24"/>
  <c r="DB6" i="24"/>
  <c r="BY5" i="24"/>
  <c r="CX5" i="24"/>
  <c r="BY6" i="24"/>
  <c r="CX6" i="24"/>
  <c r="BY7" i="24"/>
  <c r="CX7" i="24"/>
  <c r="BU5" i="24"/>
  <c r="CT5" i="24"/>
  <c r="CT65" i="24"/>
  <c r="BU6" i="24"/>
  <c r="CT6" i="24"/>
  <c r="CT66" i="24"/>
  <c r="BU7" i="24"/>
  <c r="CT7" i="24"/>
  <c r="CT67" i="24"/>
  <c r="BQ5" i="24"/>
  <c r="CP5" i="24"/>
  <c r="CP65" i="24"/>
  <c r="BQ7" i="24"/>
  <c r="CP7" i="24"/>
  <c r="CP67" i="24"/>
  <c r="BQ6" i="24"/>
  <c r="CP6" i="24"/>
  <c r="CP66" i="24"/>
  <c r="AK11" i="24"/>
  <c r="AK12" i="24"/>
  <c r="O57" i="24"/>
  <c r="BT57" i="24"/>
  <c r="CS57" i="24"/>
  <c r="BT19" i="24"/>
  <c r="AV19" i="24"/>
  <c r="BT9" i="24"/>
  <c r="CS9" i="24"/>
  <c r="AV9" i="24"/>
  <c r="B31" i="24"/>
  <c r="A26" i="24"/>
  <c r="A22" i="24"/>
  <c r="B27" i="24"/>
  <c r="N17" i="24"/>
  <c r="CR24" i="24"/>
  <c r="Q29" i="24"/>
  <c r="BT29" i="24"/>
  <c r="AV29" i="24"/>
  <c r="P34" i="24"/>
  <c r="O36" i="24"/>
  <c r="N37" i="24"/>
  <c r="O51" i="24"/>
  <c r="P59" i="24"/>
  <c r="A7" i="24"/>
  <c r="O11" i="24"/>
  <c r="CR14" i="24"/>
  <c r="S4" i="24"/>
  <c r="I24" i="24"/>
  <c r="AO19" i="24"/>
  <c r="N26" i="24"/>
  <c r="N31" i="24"/>
  <c r="BT44" i="24"/>
  <c r="CS44" i="24"/>
  <c r="AV44" i="24"/>
  <c r="O41" i="24"/>
  <c r="N42" i="24"/>
  <c r="P44" i="24"/>
  <c r="Q54" i="24"/>
  <c r="BT54" i="24"/>
  <c r="CS54" i="24"/>
  <c r="AV54" i="24"/>
  <c r="BT59" i="24"/>
  <c r="CS59" i="24"/>
  <c r="AV59" i="24"/>
  <c r="O55" i="24"/>
  <c r="BT55" i="24"/>
  <c r="CS55" i="24"/>
  <c r="O6" i="24"/>
  <c r="O7" i="24"/>
  <c r="O22" i="24"/>
  <c r="O47" i="24"/>
  <c r="CR19" i="24"/>
  <c r="BU2" i="24"/>
  <c r="CT4" i="24"/>
  <c r="DT4" i="24"/>
  <c r="BV4" i="24"/>
  <c r="AX4" i="24"/>
  <c r="P9" i="24"/>
  <c r="B25" i="24"/>
  <c r="A20" i="24"/>
  <c r="BT34" i="24"/>
  <c r="CS34" i="24"/>
  <c r="AV34" i="24"/>
  <c r="Q24" i="24"/>
  <c r="BT24" i="24"/>
  <c r="AV24" i="24"/>
  <c r="CR29" i="24"/>
  <c r="O46" i="24"/>
  <c r="BU49" i="24"/>
  <c r="CT49" i="24"/>
  <c r="AW49" i="24"/>
  <c r="N52" i="24"/>
  <c r="N61" i="24"/>
  <c r="N62" i="24"/>
  <c r="O10" i="24"/>
  <c r="O12" i="24"/>
  <c r="Q14" i="24"/>
  <c r="BT14" i="24"/>
  <c r="AV14" i="24"/>
  <c r="M16" i="24"/>
  <c r="BR16" i="24"/>
  <c r="CQ16" i="24"/>
  <c r="A12" i="24"/>
  <c r="P19" i="24"/>
  <c r="N27" i="24"/>
  <c r="N32" i="24"/>
  <c r="Q39" i="24"/>
  <c r="BT39" i="24"/>
  <c r="CS39" i="24"/>
  <c r="AV39" i="24"/>
  <c r="N40" i="24"/>
  <c r="N45" i="24"/>
  <c r="P49" i="24"/>
  <c r="AC22" i="5"/>
  <c r="AC20" i="5"/>
  <c r="AC18" i="5"/>
  <c r="AC16" i="5"/>
  <c r="AC14" i="5"/>
  <c r="AC12" i="5"/>
  <c r="AC10" i="5"/>
  <c r="AC6" i="5"/>
  <c r="B3" i="8"/>
  <c r="B10" i="8"/>
  <c r="B17" i="8"/>
  <c r="B24" i="8"/>
  <c r="B31" i="8"/>
  <c r="B38" i="8"/>
  <c r="B45" i="8"/>
  <c r="B52" i="8"/>
  <c r="B59" i="8"/>
  <c r="B66" i="8"/>
  <c r="B73" i="8"/>
  <c r="B80" i="8"/>
  <c r="CQ65" i="24"/>
  <c r="CY68" i="24"/>
  <c r="CT68" i="24"/>
  <c r="CP68" i="24"/>
  <c r="CS67" i="24"/>
  <c r="CQ66" i="24"/>
  <c r="G19" i="26"/>
  <c r="CO7" i="24"/>
  <c r="CO67" i="24"/>
  <c r="F19" i="26"/>
  <c r="CO6" i="24"/>
  <c r="CO66" i="24"/>
  <c r="E19" i="26"/>
  <c r="CO5" i="24"/>
  <c r="CO65" i="24"/>
  <c r="CO68" i="24"/>
  <c r="O15" i="24"/>
  <c r="BT15" i="24"/>
  <c r="CS15" i="24"/>
  <c r="CS65" i="24"/>
  <c r="BS15" i="24"/>
  <c r="CR15" i="24"/>
  <c r="CR65" i="24"/>
  <c r="O56" i="24"/>
  <c r="BT56" i="24"/>
  <c r="CS56" i="24"/>
  <c r="AW39" i="24"/>
  <c r="BU39" i="24"/>
  <c r="CT39" i="24"/>
  <c r="R39" i="24"/>
  <c r="O32" i="24"/>
  <c r="Q19" i="24"/>
  <c r="N16" i="24"/>
  <c r="BS16" i="24"/>
  <c r="CR16" i="24"/>
  <c r="CR66" i="24"/>
  <c r="CS14" i="24"/>
  <c r="O62" i="24"/>
  <c r="O61" i="24"/>
  <c r="O52" i="24"/>
  <c r="CS24" i="24"/>
  <c r="A25" i="24"/>
  <c r="B30" i="24"/>
  <c r="Q9" i="24"/>
  <c r="CU4" i="24"/>
  <c r="BV2" i="24"/>
  <c r="AO24" i="24"/>
  <c r="I29" i="24"/>
  <c r="A8" i="24"/>
  <c r="CS29" i="24"/>
  <c r="B36" i="24"/>
  <c r="A31" i="24"/>
  <c r="CS19" i="24"/>
  <c r="Q49" i="24"/>
  <c r="O45" i="24"/>
  <c r="O40" i="24"/>
  <c r="O27" i="24"/>
  <c r="A13" i="24"/>
  <c r="AW14" i="24"/>
  <c r="BU14" i="24"/>
  <c r="R14" i="24"/>
  <c r="AX49" i="24"/>
  <c r="BV49" i="24"/>
  <c r="CU49" i="24"/>
  <c r="AW24" i="24"/>
  <c r="BU24" i="24"/>
  <c r="R24" i="24"/>
  <c r="AW34" i="24"/>
  <c r="BU34" i="24"/>
  <c r="CT34" i="24"/>
  <c r="AY4" i="24"/>
  <c r="DU4" i="24"/>
  <c r="BW4" i="24"/>
  <c r="AW59" i="24"/>
  <c r="BU59" i="24"/>
  <c r="CT59" i="24"/>
  <c r="AW54" i="24"/>
  <c r="BU54" i="24"/>
  <c r="CT54" i="24"/>
  <c r="R54" i="24"/>
  <c r="Q44" i="24"/>
  <c r="O42" i="24"/>
  <c r="AW44" i="24"/>
  <c r="BU44" i="24"/>
  <c r="CT44" i="24"/>
  <c r="O31" i="24"/>
  <c r="O26" i="24"/>
  <c r="T4" i="24"/>
  <c r="Q59" i="24"/>
  <c r="O37" i="24"/>
  <c r="Q34" i="24"/>
  <c r="AW29" i="24"/>
  <c r="BU29" i="24"/>
  <c r="R29" i="24"/>
  <c r="O17" i="24"/>
  <c r="A27" i="24"/>
  <c r="B32" i="24"/>
  <c r="AW9" i="24"/>
  <c r="BU9" i="24"/>
  <c r="CT9" i="24"/>
  <c r="AW19" i="24"/>
  <c r="BU19" i="24"/>
  <c r="D1" i="8"/>
  <c r="CQ68" i="24"/>
  <c r="CR68" i="24"/>
  <c r="BV19" i="24"/>
  <c r="AX19" i="24"/>
  <c r="BV9" i="24"/>
  <c r="CU9" i="24"/>
  <c r="AX9" i="24"/>
  <c r="S29" i="24"/>
  <c r="BV29" i="24"/>
  <c r="AX29" i="24"/>
  <c r="BV44" i="24"/>
  <c r="CU44" i="24"/>
  <c r="AX44" i="24"/>
  <c r="R44" i="24"/>
  <c r="BV34" i="24"/>
  <c r="CU34" i="24"/>
  <c r="AX34" i="24"/>
  <c r="S24" i="24"/>
  <c r="BV24" i="24"/>
  <c r="AX24" i="24"/>
  <c r="CT14" i="24"/>
  <c r="R49" i="24"/>
  <c r="AO29" i="24"/>
  <c r="I34" i="24"/>
  <c r="R9" i="24"/>
  <c r="B35" i="24"/>
  <c r="A30" i="24"/>
  <c r="O16" i="24"/>
  <c r="BT16" i="24"/>
  <c r="CS16" i="24"/>
  <c r="CS66" i="24"/>
  <c r="CS68" i="24"/>
  <c r="R19" i="24"/>
  <c r="CT19" i="24"/>
  <c r="B37" i="24"/>
  <c r="A32" i="24"/>
  <c r="CT29" i="24"/>
  <c r="R34" i="24"/>
  <c r="R59" i="24"/>
  <c r="U4" i="24"/>
  <c r="S54" i="24"/>
  <c r="BV54" i="24"/>
  <c r="CU54" i="24"/>
  <c r="AX54" i="24"/>
  <c r="BV59" i="24"/>
  <c r="CU59" i="24"/>
  <c r="AX59" i="24"/>
  <c r="BW2" i="24"/>
  <c r="CV4" i="24"/>
  <c r="DV4" i="24"/>
  <c r="BX4" i="24"/>
  <c r="AZ4" i="24"/>
  <c r="CT24" i="24"/>
  <c r="BW49" i="24"/>
  <c r="CV49" i="24"/>
  <c r="AY49" i="24"/>
  <c r="S14" i="24"/>
  <c r="BV14" i="24"/>
  <c r="AX14" i="24"/>
  <c r="B41" i="24"/>
  <c r="A36" i="24"/>
  <c r="S39" i="24"/>
  <c r="BV39" i="24"/>
  <c r="CU39" i="24"/>
  <c r="AX39" i="24"/>
  <c r="E1" i="8"/>
  <c r="CW4" i="24"/>
  <c r="BX2" i="24"/>
  <c r="AY59" i="24"/>
  <c r="BW59" i="24"/>
  <c r="CV59" i="24"/>
  <c r="AY54" i="24"/>
  <c r="BW54" i="24"/>
  <c r="CV54" i="24"/>
  <c r="T54" i="24"/>
  <c r="S34" i="24"/>
  <c r="B42" i="24"/>
  <c r="A37" i="24"/>
  <c r="S19" i="24"/>
  <c r="B40" i="24"/>
  <c r="A35" i="24"/>
  <c r="S9" i="24"/>
  <c r="CU24" i="24"/>
  <c r="AY44" i="24"/>
  <c r="BW44" i="24"/>
  <c r="CV44" i="24"/>
  <c r="AY29" i="24"/>
  <c r="BW29" i="24"/>
  <c r="T29" i="24"/>
  <c r="AY9" i="24"/>
  <c r="BW9" i="24"/>
  <c r="CV9" i="24"/>
  <c r="AY19" i="24"/>
  <c r="BW19" i="24"/>
  <c r="AY39" i="24"/>
  <c r="BW39" i="24"/>
  <c r="CV39" i="24"/>
  <c r="T39" i="24"/>
  <c r="CU14" i="24"/>
  <c r="B46" i="24"/>
  <c r="A41" i="24"/>
  <c r="AY14" i="24"/>
  <c r="BW14" i="24"/>
  <c r="T14" i="24"/>
  <c r="AZ49" i="24"/>
  <c r="BX49" i="24"/>
  <c r="CW49" i="24"/>
  <c r="BA4" i="24"/>
  <c r="DW4" i="24"/>
  <c r="BY4" i="24"/>
  <c r="Q62" i="24"/>
  <c r="Q55" i="24"/>
  <c r="BV55" i="24"/>
  <c r="CU55" i="24"/>
  <c r="Q52" i="24"/>
  <c r="Q45" i="24"/>
  <c r="Q42" i="24"/>
  <c r="R42" i="24"/>
  <c r="S42" i="24"/>
  <c r="Q40" i="24"/>
  <c r="Q37" i="24"/>
  <c r="Q32" i="24"/>
  <c r="R32" i="24"/>
  <c r="Q27" i="24"/>
  <c r="R27" i="24"/>
  <c r="S27" i="24"/>
  <c r="Q22" i="24"/>
  <c r="V4" i="24"/>
  <c r="Q17" i="24"/>
  <c r="Q7" i="24"/>
  <c r="Q12" i="24"/>
  <c r="Q10" i="24"/>
  <c r="R10" i="24"/>
  <c r="Q5" i="24"/>
  <c r="Q20" i="24"/>
  <c r="R20" i="24"/>
  <c r="S20" i="24"/>
  <c r="T20" i="24"/>
  <c r="Q6" i="24"/>
  <c r="R6" i="24"/>
  <c r="S6" i="24"/>
  <c r="Q11" i="24"/>
  <c r="R17" i="24"/>
  <c r="Q25" i="24"/>
  <c r="R25" i="24"/>
  <c r="S25" i="24"/>
  <c r="T25" i="24"/>
  <c r="Q41" i="24"/>
  <c r="R41" i="24"/>
  <c r="S41" i="24"/>
  <c r="T41" i="24"/>
  <c r="Q51" i="24"/>
  <c r="R51" i="24"/>
  <c r="Q35" i="24"/>
  <c r="R40" i="24"/>
  <c r="R45" i="24"/>
  <c r="Q47" i="24"/>
  <c r="Q50" i="24"/>
  <c r="Q57" i="24"/>
  <c r="BV57" i="24"/>
  <c r="CU57" i="24"/>
  <c r="CU67" i="24"/>
  <c r="Q60" i="24"/>
  <c r="R60" i="24"/>
  <c r="S60" i="24"/>
  <c r="T60" i="24"/>
  <c r="R55" i="24"/>
  <c r="Q61" i="24"/>
  <c r="R61" i="24"/>
  <c r="R12" i="24"/>
  <c r="Q15" i="24"/>
  <c r="R5" i="24"/>
  <c r="R7" i="24"/>
  <c r="R11" i="24"/>
  <c r="S12" i="24"/>
  <c r="Q46" i="24"/>
  <c r="R22" i="24"/>
  <c r="S22" i="24"/>
  <c r="Q36" i="24"/>
  <c r="R36" i="24"/>
  <c r="R47" i="24"/>
  <c r="S47" i="24"/>
  <c r="R37" i="24"/>
  <c r="R50" i="24"/>
  <c r="Q56" i="24"/>
  <c r="R52" i="24"/>
  <c r="S52" i="24"/>
  <c r="R57" i="24"/>
  <c r="R62" i="24"/>
  <c r="S62" i="24"/>
  <c r="Q31" i="24"/>
  <c r="R31" i="24"/>
  <c r="Q26" i="24"/>
  <c r="Q30" i="24"/>
  <c r="R30" i="24"/>
  <c r="S30" i="24"/>
  <c r="T30" i="24"/>
  <c r="R26" i="24"/>
  <c r="Q21" i="24"/>
  <c r="S26" i="24"/>
  <c r="Q16" i="24"/>
  <c r="BV16" i="24"/>
  <c r="CU16" i="24"/>
  <c r="S59" i="24"/>
  <c r="I39" i="24"/>
  <c r="AO34" i="24"/>
  <c r="S49" i="24"/>
  <c r="AY24" i="24"/>
  <c r="BW24" i="24"/>
  <c r="T24" i="24"/>
  <c r="AY34" i="24"/>
  <c r="BW34" i="24"/>
  <c r="CV34" i="24"/>
  <c r="S44" i="24"/>
  <c r="CU29" i="24"/>
  <c r="CU19" i="24"/>
  <c r="F1" i="8"/>
  <c r="R15" i="24"/>
  <c r="BV15" i="24"/>
  <c r="CU15" i="24"/>
  <c r="CU65" i="24"/>
  <c r="S57" i="24"/>
  <c r="BX57" i="24"/>
  <c r="CW57" i="24"/>
  <c r="CW67" i="24"/>
  <c r="BW57" i="24"/>
  <c r="CV57" i="24"/>
  <c r="CV67" i="24"/>
  <c r="R56" i="24"/>
  <c r="BW56" i="24"/>
  <c r="CV56" i="24"/>
  <c r="BV56" i="24"/>
  <c r="CU56" i="24"/>
  <c r="CU66" i="24"/>
  <c r="S55" i="24"/>
  <c r="BX55" i="24"/>
  <c r="CW55" i="24"/>
  <c r="BW55" i="24"/>
  <c r="CV55" i="24"/>
  <c r="T62" i="24"/>
  <c r="T52" i="24"/>
  <c r="T47" i="24"/>
  <c r="T22" i="24"/>
  <c r="T42" i="24"/>
  <c r="T27" i="24"/>
  <c r="S32" i="24"/>
  <c r="S36" i="24"/>
  <c r="S61" i="24"/>
  <c r="S51" i="24"/>
  <c r="T44" i="24"/>
  <c r="CV24" i="24"/>
  <c r="T59" i="24"/>
  <c r="R16" i="24"/>
  <c r="BW16" i="24"/>
  <c r="CV16" i="24"/>
  <c r="T26" i="24"/>
  <c r="S5" i="24"/>
  <c r="T12" i="24"/>
  <c r="W4" i="24"/>
  <c r="S37" i="24"/>
  <c r="S40" i="24"/>
  <c r="S45" i="24"/>
  <c r="BY2" i="24"/>
  <c r="CX4" i="24"/>
  <c r="AR61" i="24"/>
  <c r="AS61" i="24"/>
  <c r="DP61" i="24"/>
  <c r="AR57" i="24"/>
  <c r="AR41" i="24"/>
  <c r="AS41" i="24"/>
  <c r="DP41" i="24"/>
  <c r="AR31" i="24"/>
  <c r="AR26" i="24"/>
  <c r="AS26" i="24"/>
  <c r="DP26" i="24"/>
  <c r="DX4" i="24"/>
  <c r="BZ4" i="24"/>
  <c r="AR21" i="24"/>
  <c r="AR16" i="24"/>
  <c r="AS16" i="24"/>
  <c r="DP16" i="24"/>
  <c r="BB4" i="24"/>
  <c r="AR11" i="24"/>
  <c r="AS11" i="24"/>
  <c r="DP11" i="24"/>
  <c r="AR10" i="24"/>
  <c r="AR7" i="24"/>
  <c r="AR20" i="24"/>
  <c r="AR6" i="24"/>
  <c r="AS10" i="24"/>
  <c r="DP10" i="24"/>
  <c r="AR30" i="24"/>
  <c r="AS30" i="24"/>
  <c r="AR17" i="24"/>
  <c r="AS17" i="24"/>
  <c r="AS21" i="24"/>
  <c r="DP21" i="24"/>
  <c r="AR25" i="24"/>
  <c r="AR40" i="24"/>
  <c r="AS40" i="24"/>
  <c r="AR27" i="24"/>
  <c r="AS27" i="24"/>
  <c r="AS31" i="24"/>
  <c r="DP31" i="24"/>
  <c r="AR35" i="24"/>
  <c r="AS35" i="24"/>
  <c r="AR45" i="24"/>
  <c r="AS45" i="24"/>
  <c r="DP45" i="24"/>
  <c r="AR36" i="24"/>
  <c r="AS36" i="24"/>
  <c r="AR47" i="24"/>
  <c r="AR50" i="24"/>
  <c r="AS50" i="24"/>
  <c r="DP50" i="24"/>
  <c r="AR51" i="24"/>
  <c r="AR56" i="24"/>
  <c r="AS57" i="24"/>
  <c r="DP57" i="24"/>
  <c r="AS56" i="24"/>
  <c r="DP56" i="24"/>
  <c r="AR62" i="24"/>
  <c r="AS62" i="24"/>
  <c r="AR15" i="24"/>
  <c r="AS20" i="24"/>
  <c r="DP20" i="24"/>
  <c r="AR5" i="24"/>
  <c r="AS5" i="24"/>
  <c r="AT10" i="24"/>
  <c r="DQ10" i="24"/>
  <c r="AR12" i="24"/>
  <c r="AS12" i="24"/>
  <c r="AR32" i="24"/>
  <c r="AS25" i="24"/>
  <c r="DP25" i="24"/>
  <c r="AS32" i="24"/>
  <c r="DP32" i="24"/>
  <c r="AR22" i="24"/>
  <c r="AS22" i="24"/>
  <c r="DP22" i="24"/>
  <c r="AR37" i="24"/>
  <c r="AR42" i="24"/>
  <c r="AS42" i="24"/>
  <c r="AR46" i="24"/>
  <c r="AT50" i="24"/>
  <c r="DQ50" i="24"/>
  <c r="AS51" i="24"/>
  <c r="DP51" i="24"/>
  <c r="AR52" i="24"/>
  <c r="AR55" i="24"/>
  <c r="AR60" i="24"/>
  <c r="BY49" i="24"/>
  <c r="CX49" i="24"/>
  <c r="BA49" i="24"/>
  <c r="U14" i="24"/>
  <c r="BX14" i="24"/>
  <c r="AZ14" i="24"/>
  <c r="B51" i="24"/>
  <c r="A46" i="24"/>
  <c r="U39" i="24"/>
  <c r="BX39" i="24"/>
  <c r="CW39" i="24"/>
  <c r="AZ39" i="24"/>
  <c r="BX19" i="24"/>
  <c r="AZ19" i="24"/>
  <c r="BX9" i="24"/>
  <c r="CW9" i="24"/>
  <c r="AZ9" i="24"/>
  <c r="U29" i="24"/>
  <c r="BX29" i="24"/>
  <c r="AZ29" i="24"/>
  <c r="BX44" i="24"/>
  <c r="CW44" i="24"/>
  <c r="AZ44" i="24"/>
  <c r="A40" i="24"/>
  <c r="B45" i="24"/>
  <c r="T19" i="24"/>
  <c r="T34" i="24"/>
  <c r="BX34" i="24"/>
  <c r="CW34" i="24"/>
  <c r="AZ34" i="24"/>
  <c r="U24" i="24"/>
  <c r="BX24" i="24"/>
  <c r="AZ24" i="24"/>
  <c r="T49" i="24"/>
  <c r="AO39" i="24"/>
  <c r="I44" i="24"/>
  <c r="S31" i="24"/>
  <c r="R21" i="24"/>
  <c r="S11" i="24"/>
  <c r="S50" i="24"/>
  <c r="R46" i="24"/>
  <c r="R35" i="24"/>
  <c r="S10" i="24"/>
  <c r="T6" i="24"/>
  <c r="S7" i="24"/>
  <c r="S17" i="24"/>
  <c r="CV14" i="24"/>
  <c r="CV19" i="24"/>
  <c r="CV29" i="24"/>
  <c r="T9" i="24"/>
  <c r="B47" i="24"/>
  <c r="A42" i="24"/>
  <c r="U54" i="24"/>
  <c r="BX54" i="24"/>
  <c r="CW54" i="24"/>
  <c r="AZ54" i="24"/>
  <c r="BX59" i="24"/>
  <c r="CW59" i="24"/>
  <c r="AZ59" i="24"/>
  <c r="G1" i="8"/>
  <c r="CV66" i="24"/>
  <c r="CU68" i="24"/>
  <c r="S15" i="24"/>
  <c r="BW15" i="24"/>
  <c r="CV15" i="24"/>
  <c r="CV65" i="24"/>
  <c r="T57" i="24"/>
  <c r="BY57" i="24"/>
  <c r="CX57" i="24"/>
  <c r="CX67" i="24"/>
  <c r="S56" i="24"/>
  <c r="BX56" i="24"/>
  <c r="CW56" i="24"/>
  <c r="T55" i="24"/>
  <c r="BY55" i="24"/>
  <c r="CX55" i="24"/>
  <c r="DP36" i="24"/>
  <c r="AT36" i="24"/>
  <c r="DQ36" i="24"/>
  <c r="DP35" i="24"/>
  <c r="AT35" i="24"/>
  <c r="DP27" i="24"/>
  <c r="AT27" i="24"/>
  <c r="DQ27" i="24"/>
  <c r="DP30" i="24"/>
  <c r="AT30" i="24"/>
  <c r="DQ30" i="24"/>
  <c r="DP40" i="24"/>
  <c r="AT40" i="24"/>
  <c r="DQ40" i="24"/>
  <c r="AT56" i="24"/>
  <c r="AT51" i="24"/>
  <c r="DQ51" i="24"/>
  <c r="AU50" i="24"/>
  <c r="DR50" i="24"/>
  <c r="AT45" i="24"/>
  <c r="DQ45" i="24"/>
  <c r="AT32" i="24"/>
  <c r="DQ32" i="24"/>
  <c r="AT25" i="24"/>
  <c r="DQ25" i="24"/>
  <c r="AT20" i="24"/>
  <c r="DQ20" i="24"/>
  <c r="DP42" i="24"/>
  <c r="AT42" i="24"/>
  <c r="DP17" i="24"/>
  <c r="AT17" i="24"/>
  <c r="DP12" i="24"/>
  <c r="AT12" i="24"/>
  <c r="DP5" i="24"/>
  <c r="AT5" i="24"/>
  <c r="DP62" i="24"/>
  <c r="AT62" i="24"/>
  <c r="U9" i="24"/>
  <c r="T11" i="24"/>
  <c r="BA59" i="24"/>
  <c r="BY59" i="24"/>
  <c r="CX59" i="24"/>
  <c r="BA54" i="24"/>
  <c r="BY54" i="24"/>
  <c r="CX54" i="24"/>
  <c r="V54" i="24"/>
  <c r="T17" i="24"/>
  <c r="T10" i="24"/>
  <c r="S35" i="24"/>
  <c r="S46" i="24"/>
  <c r="S21" i="24"/>
  <c r="I49" i="24"/>
  <c r="AO44" i="24"/>
  <c r="U49" i="24"/>
  <c r="BA24" i="24"/>
  <c r="BY24" i="24"/>
  <c r="V24" i="24"/>
  <c r="BY34" i="24"/>
  <c r="CX34" i="24"/>
  <c r="BA34" i="24"/>
  <c r="U34" i="24"/>
  <c r="U19" i="24"/>
  <c r="B50" i="24"/>
  <c r="A45" i="24"/>
  <c r="BA44" i="24"/>
  <c r="BY44" i="24"/>
  <c r="CX44" i="24"/>
  <c r="BA29" i="24"/>
  <c r="BY29" i="24"/>
  <c r="V29" i="24"/>
  <c r="BA9" i="24"/>
  <c r="BY9" i="24"/>
  <c r="CX9" i="24"/>
  <c r="BA19" i="24"/>
  <c r="BY19" i="24"/>
  <c r="BA39" i="24"/>
  <c r="BY39" i="24"/>
  <c r="CX39" i="24"/>
  <c r="V39" i="24"/>
  <c r="BA14" i="24"/>
  <c r="BY14" i="24"/>
  <c r="V14" i="24"/>
  <c r="BB49" i="24"/>
  <c r="BZ49" i="24"/>
  <c r="CY49" i="24"/>
  <c r="DO60" i="24"/>
  <c r="DO52" i="24"/>
  <c r="DO22" i="24"/>
  <c r="DO32" i="24"/>
  <c r="AU10" i="24"/>
  <c r="DO56" i="24"/>
  <c r="AU51" i="24"/>
  <c r="DO50" i="24"/>
  <c r="DO47" i="24"/>
  <c r="DO36" i="24"/>
  <c r="AS47" i="24"/>
  <c r="DO45" i="24"/>
  <c r="DO27" i="24"/>
  <c r="AT22" i="24"/>
  <c r="AU40" i="24"/>
  <c r="AU32" i="24"/>
  <c r="AT31" i="24"/>
  <c r="AU27" i="24"/>
  <c r="AU25" i="24"/>
  <c r="DO30" i="24"/>
  <c r="DO20" i="24"/>
  <c r="DO7" i="24"/>
  <c r="AS7" i="24"/>
  <c r="DO10" i="24"/>
  <c r="BC4" i="24"/>
  <c r="DY4" i="24"/>
  <c r="CA4" i="24"/>
  <c r="AT11" i="24"/>
  <c r="DO16" i="24"/>
  <c r="AT21" i="24"/>
  <c r="CY4" i="24"/>
  <c r="BZ2" i="24"/>
  <c r="DO26" i="24"/>
  <c r="DO41" i="24"/>
  <c r="DO57" i="24"/>
  <c r="AT61" i="24"/>
  <c r="T40" i="24"/>
  <c r="X4" i="24"/>
  <c r="S16" i="24"/>
  <c r="BX16" i="24"/>
  <c r="CW16" i="24"/>
  <c r="CW66" i="24"/>
  <c r="U59" i="24"/>
  <c r="U44" i="24"/>
  <c r="T51" i="24"/>
  <c r="T61" i="24"/>
  <c r="T36" i="24"/>
  <c r="T56" i="24"/>
  <c r="BY56" i="24"/>
  <c r="CX56" i="24"/>
  <c r="B52" i="24"/>
  <c r="A47" i="24"/>
  <c r="T7" i="24"/>
  <c r="T50" i="24"/>
  <c r="T31" i="24"/>
  <c r="CW24" i="24"/>
  <c r="CW29" i="24"/>
  <c r="CW19" i="24"/>
  <c r="B56" i="24"/>
  <c r="A51" i="24"/>
  <c r="CW14" i="24"/>
  <c r="DO55" i="24"/>
  <c r="DO46" i="24"/>
  <c r="DO42" i="24"/>
  <c r="DO37" i="24"/>
  <c r="AU36" i="24"/>
  <c r="DO12" i="24"/>
  <c r="DO5" i="24"/>
  <c r="DO15" i="24"/>
  <c r="DO62" i="24"/>
  <c r="AS60" i="24"/>
  <c r="AS55" i="24"/>
  <c r="AS52" i="24"/>
  <c r="DO51" i="24"/>
  <c r="AS46" i="24"/>
  <c r="AS37" i="24"/>
  <c r="AU45" i="24"/>
  <c r="DO35" i="24"/>
  <c r="DO40" i="24"/>
  <c r="DO25" i="24"/>
  <c r="DO17" i="24"/>
  <c r="DO6" i="24"/>
  <c r="AS15" i="24"/>
  <c r="AS6" i="24"/>
  <c r="DO11" i="24"/>
  <c r="AT16" i="24"/>
  <c r="DO21" i="24"/>
  <c r="AT26" i="24"/>
  <c r="DO31" i="24"/>
  <c r="AT41" i="24"/>
  <c r="AT57" i="24"/>
  <c r="DO61" i="24"/>
  <c r="T45" i="24"/>
  <c r="T37" i="24"/>
  <c r="T5" i="24"/>
  <c r="T32" i="24"/>
  <c r="H1" i="8"/>
  <c r="Z49" i="5"/>
  <c r="AB50" i="5"/>
  <c r="AB49" i="5"/>
  <c r="AA50" i="5"/>
  <c r="AA49" i="5"/>
  <c r="P51" i="5"/>
  <c r="CV68" i="24"/>
  <c r="T15" i="24"/>
  <c r="BY15" i="24"/>
  <c r="CX15" i="24"/>
  <c r="CX65" i="24"/>
  <c r="BX15" i="24"/>
  <c r="CW15" i="24"/>
  <c r="CW65" i="24"/>
  <c r="CW68" i="24"/>
  <c r="AU30" i="24"/>
  <c r="DR30" i="24"/>
  <c r="AV50" i="24"/>
  <c r="AW50" i="24"/>
  <c r="AU20" i="24"/>
  <c r="DR20" i="24"/>
  <c r="DQ35" i="24"/>
  <c r="AU35" i="24"/>
  <c r="DQ56" i="24"/>
  <c r="AU56" i="24"/>
  <c r="DQ26" i="24"/>
  <c r="AU26" i="24"/>
  <c r="DQ41" i="24"/>
  <c r="AU41" i="24"/>
  <c r="DQ16" i="24"/>
  <c r="AU16" i="24"/>
  <c r="DP15" i="24"/>
  <c r="AT15" i="24"/>
  <c r="DP37" i="24"/>
  <c r="AT37" i="24"/>
  <c r="DS50" i="24"/>
  <c r="DP55" i="24"/>
  <c r="AT55" i="24"/>
  <c r="DR36" i="24"/>
  <c r="AV36" i="24"/>
  <c r="B61" i="24"/>
  <c r="A56" i="24"/>
  <c r="B57" i="24"/>
  <c r="A52" i="24"/>
  <c r="V44" i="24"/>
  <c r="V59" i="24"/>
  <c r="T16" i="24"/>
  <c r="BY16" i="24"/>
  <c r="CX16" i="24"/>
  <c r="CX66" i="24"/>
  <c r="DQ61" i="24"/>
  <c r="AU61" i="24"/>
  <c r="DQ11" i="24"/>
  <c r="AU11" i="24"/>
  <c r="DP7" i="24"/>
  <c r="AT7" i="24"/>
  <c r="DR27" i="24"/>
  <c r="AV27" i="24"/>
  <c r="DR32" i="24"/>
  <c r="AV32" i="24"/>
  <c r="DQ22" i="24"/>
  <c r="AU22" i="24"/>
  <c r="DP47" i="24"/>
  <c r="AT47" i="24"/>
  <c r="DR10" i="24"/>
  <c r="AV10" i="24"/>
  <c r="CA49" i="24"/>
  <c r="CZ49" i="24"/>
  <c r="BC49" i="24"/>
  <c r="W14" i="24"/>
  <c r="BZ14" i="24"/>
  <c r="BB14" i="24"/>
  <c r="W39" i="24"/>
  <c r="BZ39" i="24"/>
  <c r="CY39" i="24"/>
  <c r="BB39" i="24"/>
  <c r="BZ19" i="24"/>
  <c r="BB19" i="24"/>
  <c r="BZ9" i="24"/>
  <c r="CY9" i="24"/>
  <c r="BB9" i="24"/>
  <c r="W29" i="24"/>
  <c r="BZ29" i="24"/>
  <c r="BB29" i="24"/>
  <c r="BZ44" i="24"/>
  <c r="CY44" i="24"/>
  <c r="BB44" i="24"/>
  <c r="B55" i="24"/>
  <c r="A50" i="24"/>
  <c r="W24" i="24"/>
  <c r="BZ24" i="24"/>
  <c r="BB24" i="24"/>
  <c r="V49" i="24"/>
  <c r="I54" i="24"/>
  <c r="AO49" i="24"/>
  <c r="T46" i="24"/>
  <c r="T35" i="24"/>
  <c r="DQ57" i="24"/>
  <c r="AU57" i="24"/>
  <c r="DP6" i="24"/>
  <c r="AT6" i="24"/>
  <c r="AV20" i="24"/>
  <c r="DR45" i="24"/>
  <c r="AV45" i="24"/>
  <c r="DP46" i="24"/>
  <c r="AT46" i="24"/>
  <c r="DP52" i="24"/>
  <c r="AT52" i="24"/>
  <c r="DP60" i="24"/>
  <c r="AT60" i="24"/>
  <c r="Y4" i="24"/>
  <c r="DQ21" i="24"/>
  <c r="AU21" i="24"/>
  <c r="CA2" i="24"/>
  <c r="CZ4" i="24"/>
  <c r="DZ4" i="24"/>
  <c r="CB4" i="24"/>
  <c r="BD4" i="24"/>
  <c r="DR25" i="24"/>
  <c r="AV25" i="24"/>
  <c r="DQ31" i="24"/>
  <c r="AU31" i="24"/>
  <c r="DR40" i="24"/>
  <c r="AV40" i="24"/>
  <c r="DR51" i="24"/>
  <c r="AV51" i="24"/>
  <c r="CX14" i="24"/>
  <c r="CX19" i="24"/>
  <c r="CX29" i="24"/>
  <c r="V19" i="24"/>
  <c r="V34" i="24"/>
  <c r="BZ34" i="24"/>
  <c r="CY34" i="24"/>
  <c r="BB34" i="24"/>
  <c r="CX24" i="24"/>
  <c r="T21" i="24"/>
  <c r="W54" i="24"/>
  <c r="BZ54" i="24"/>
  <c r="CY54" i="24"/>
  <c r="BB54" i="24"/>
  <c r="BZ59" i="24"/>
  <c r="CY59" i="24"/>
  <c r="BB59" i="24"/>
  <c r="V9" i="24"/>
  <c r="DQ62" i="24"/>
  <c r="AU62" i="24"/>
  <c r="DQ5" i="24"/>
  <c r="AU5" i="24"/>
  <c r="DQ12" i="24"/>
  <c r="AU12" i="24"/>
  <c r="DQ17" i="24"/>
  <c r="AU17" i="24"/>
  <c r="DQ42" i="24"/>
  <c r="AU42" i="24"/>
  <c r="I1" i="8"/>
  <c r="R37" i="5"/>
  <c r="B48" i="5"/>
  <c r="R48" i="5"/>
  <c r="V48" i="5"/>
  <c r="B49" i="5"/>
  <c r="R49" i="5"/>
  <c r="V49" i="5"/>
  <c r="B50" i="5"/>
  <c r="R50" i="5"/>
  <c r="V50" i="5"/>
  <c r="B51" i="5"/>
  <c r="R51" i="5"/>
  <c r="V51" i="5"/>
  <c r="B47" i="5"/>
  <c r="R47" i="5"/>
  <c r="V47" i="5"/>
  <c r="D44" i="5"/>
  <c r="E44" i="5"/>
  <c r="F44" i="5"/>
  <c r="G44" i="5"/>
  <c r="H44" i="5"/>
  <c r="I44" i="5"/>
  <c r="J44" i="5"/>
  <c r="K44" i="5"/>
  <c r="L44" i="5"/>
  <c r="M44" i="5"/>
  <c r="N44" i="5"/>
  <c r="D37" i="5"/>
  <c r="E37" i="5"/>
  <c r="F37" i="5"/>
  <c r="G37" i="5"/>
  <c r="H37" i="5"/>
  <c r="I37" i="5"/>
  <c r="I43" i="5"/>
  <c r="J37" i="5"/>
  <c r="K37" i="5"/>
  <c r="K43" i="5"/>
  <c r="L37" i="5"/>
  <c r="M37" i="5"/>
  <c r="M43" i="5"/>
  <c r="N37" i="5"/>
  <c r="D38" i="5"/>
  <c r="E38" i="5"/>
  <c r="F38" i="5"/>
  <c r="G38" i="5"/>
  <c r="H38" i="5"/>
  <c r="I38" i="5"/>
  <c r="J38" i="5"/>
  <c r="K38" i="5"/>
  <c r="L38" i="5"/>
  <c r="M38" i="5"/>
  <c r="N38" i="5"/>
  <c r="C38" i="5"/>
  <c r="C37" i="5"/>
  <c r="C43" i="5"/>
  <c r="D36" i="5"/>
  <c r="E36" i="5"/>
  <c r="F36" i="5"/>
  <c r="G36" i="5"/>
  <c r="H36" i="5"/>
  <c r="I36" i="5"/>
  <c r="J36" i="5"/>
  <c r="K36" i="5"/>
  <c r="L36" i="5"/>
  <c r="M36" i="5"/>
  <c r="N36" i="5"/>
  <c r="O36" i="5"/>
  <c r="C36" i="5"/>
  <c r="CX68" i="24"/>
  <c r="G43" i="5"/>
  <c r="E43" i="5"/>
  <c r="AV30" i="24"/>
  <c r="AW30" i="24"/>
  <c r="DR56" i="24"/>
  <c r="AV56" i="24"/>
  <c r="DR35" i="24"/>
  <c r="AV35" i="24"/>
  <c r="W9" i="24"/>
  <c r="DS51" i="24"/>
  <c r="AW51" i="24"/>
  <c r="BE4" i="24"/>
  <c r="EA4" i="24"/>
  <c r="CC4" i="24"/>
  <c r="DR21" i="24"/>
  <c r="AV21" i="24"/>
  <c r="DS20" i="24"/>
  <c r="AW20" i="24"/>
  <c r="DQ6" i="24"/>
  <c r="AU6" i="24"/>
  <c r="W49" i="24"/>
  <c r="BC24" i="24"/>
  <c r="CA24" i="24"/>
  <c r="X24" i="24"/>
  <c r="BC44" i="24"/>
  <c r="CA44" i="24"/>
  <c r="CZ44" i="24"/>
  <c r="BC29" i="24"/>
  <c r="CA29" i="24"/>
  <c r="X29" i="24"/>
  <c r="BC9" i="24"/>
  <c r="CA9" i="24"/>
  <c r="CZ9" i="24"/>
  <c r="BC19" i="24"/>
  <c r="CA19" i="24"/>
  <c r="BC39" i="24"/>
  <c r="CA39" i="24"/>
  <c r="CZ39" i="24"/>
  <c r="X39" i="24"/>
  <c r="BC14" i="24"/>
  <c r="CA14" i="24"/>
  <c r="X14" i="24"/>
  <c r="BD49" i="24"/>
  <c r="CB49" i="24"/>
  <c r="DA49" i="24"/>
  <c r="DS10" i="24"/>
  <c r="AW10" i="24"/>
  <c r="DQ47" i="24"/>
  <c r="AU47" i="24"/>
  <c r="DQ7" i="24"/>
  <c r="AU7" i="24"/>
  <c r="DR11" i="24"/>
  <c r="AV11" i="24"/>
  <c r="DR61" i="24"/>
  <c r="AV61" i="24"/>
  <c r="W59" i="24"/>
  <c r="W44" i="24"/>
  <c r="DT50" i="24"/>
  <c r="AX50" i="24"/>
  <c r="DQ37" i="24"/>
  <c r="AU37" i="24"/>
  <c r="DS30" i="24"/>
  <c r="DQ15" i="24"/>
  <c r="AU15" i="24"/>
  <c r="DR41" i="24"/>
  <c r="AV41" i="24"/>
  <c r="DR42" i="24"/>
  <c r="AV42" i="24"/>
  <c r="DR17" i="24"/>
  <c r="AV17" i="24"/>
  <c r="DR12" i="24"/>
  <c r="AV12" i="24"/>
  <c r="DR5" i="24"/>
  <c r="AV5" i="24"/>
  <c r="DR62" i="24"/>
  <c r="AV62" i="24"/>
  <c r="BC59" i="24"/>
  <c r="CA59" i="24"/>
  <c r="CZ59" i="24"/>
  <c r="BC54" i="24"/>
  <c r="CA54" i="24"/>
  <c r="CZ54" i="24"/>
  <c r="X54" i="24"/>
  <c r="CA34" i="24"/>
  <c r="CZ34" i="24"/>
  <c r="BC34" i="24"/>
  <c r="W34" i="24"/>
  <c r="W19" i="24"/>
  <c r="DS40" i="24"/>
  <c r="AW40" i="24"/>
  <c r="DR31" i="24"/>
  <c r="AV31" i="24"/>
  <c r="DS25" i="24"/>
  <c r="AW25" i="24"/>
  <c r="DA4" i="24"/>
  <c r="CB2" i="24"/>
  <c r="Z4" i="24"/>
  <c r="DQ60" i="24"/>
  <c r="AU60" i="24"/>
  <c r="DQ52" i="24"/>
  <c r="AU52" i="24"/>
  <c r="DQ46" i="24"/>
  <c r="AU46" i="24"/>
  <c r="DS45" i="24"/>
  <c r="AW45" i="24"/>
  <c r="DR57" i="24"/>
  <c r="AV57" i="24"/>
  <c r="AO54" i="24"/>
  <c r="I59" i="24"/>
  <c r="CY24" i="24"/>
  <c r="A55" i="24"/>
  <c r="B60" i="24"/>
  <c r="CY29" i="24"/>
  <c r="CY19" i="24"/>
  <c r="CY14" i="24"/>
  <c r="DR22" i="24"/>
  <c r="AV22" i="24"/>
  <c r="DS32" i="24"/>
  <c r="AW32" i="24"/>
  <c r="DS27" i="24"/>
  <c r="AW27" i="24"/>
  <c r="B62" i="24"/>
  <c r="A57" i="24"/>
  <c r="A61" i="24"/>
  <c r="DS36" i="24"/>
  <c r="AW36" i="24"/>
  <c r="DQ55" i="24"/>
  <c r="AU55" i="24"/>
  <c r="DR16" i="24"/>
  <c r="AV16" i="24"/>
  <c r="DR26" i="24"/>
  <c r="AV26" i="24"/>
  <c r="O38" i="5"/>
  <c r="N43" i="5"/>
  <c r="L43" i="5"/>
  <c r="J43" i="5"/>
  <c r="H43" i="5"/>
  <c r="F43" i="5"/>
  <c r="J1" i="8"/>
  <c r="O37" i="5"/>
  <c r="D43" i="5"/>
  <c r="DS35" i="24"/>
  <c r="AW35" i="24"/>
  <c r="DS56" i="24"/>
  <c r="AW56" i="24"/>
  <c r="DR55" i="24"/>
  <c r="AV55" i="24"/>
  <c r="A62" i="24"/>
  <c r="DT27" i="24"/>
  <c r="AX27" i="24"/>
  <c r="DT32" i="24"/>
  <c r="AX32" i="24"/>
  <c r="DS22" i="24"/>
  <c r="AW22" i="24"/>
  <c r="A60" i="24"/>
  <c r="AO59" i="24"/>
  <c r="DS57" i="24"/>
  <c r="AW57" i="24"/>
  <c r="DT45" i="24"/>
  <c r="AX45" i="24"/>
  <c r="DR46" i="24"/>
  <c r="AV46" i="24"/>
  <c r="DR52" i="24"/>
  <c r="AV52" i="24"/>
  <c r="DR60" i="24"/>
  <c r="AV60" i="24"/>
  <c r="DS31" i="24"/>
  <c r="AW31" i="24"/>
  <c r="X19" i="24"/>
  <c r="X34" i="24"/>
  <c r="CB34" i="24"/>
  <c r="DA34" i="24"/>
  <c r="BD34" i="24"/>
  <c r="DS12" i="24"/>
  <c r="AW12" i="24"/>
  <c r="DS41" i="24"/>
  <c r="AW41" i="24"/>
  <c r="DR15" i="24"/>
  <c r="AV15" i="24"/>
  <c r="DT30" i="24"/>
  <c r="AX30" i="24"/>
  <c r="DS11" i="24"/>
  <c r="AW11" i="24"/>
  <c r="DR47" i="24"/>
  <c r="AV47" i="24"/>
  <c r="CC49" i="24"/>
  <c r="DB49" i="24"/>
  <c r="BE49" i="24"/>
  <c r="Y14" i="24"/>
  <c r="CB14" i="24"/>
  <c r="BD14" i="24"/>
  <c r="Y39" i="24"/>
  <c r="CB39" i="24"/>
  <c r="DA39" i="24"/>
  <c r="BD39" i="24"/>
  <c r="CB19" i="24"/>
  <c r="BD19" i="24"/>
  <c r="CB9" i="24"/>
  <c r="DA9" i="24"/>
  <c r="BD9" i="24"/>
  <c r="Y29" i="24"/>
  <c r="CB29" i="24"/>
  <c r="BD29" i="24"/>
  <c r="CB44" i="24"/>
  <c r="DA44" i="24"/>
  <c r="BD44" i="24"/>
  <c r="Y24" i="24"/>
  <c r="CB24" i="24"/>
  <c r="BD24" i="24"/>
  <c r="X49" i="24"/>
  <c r="DS21" i="24"/>
  <c r="AW21" i="24"/>
  <c r="CC2" i="24"/>
  <c r="DB4" i="24"/>
  <c r="EB4" i="24"/>
  <c r="CD4" i="24"/>
  <c r="BF4" i="24"/>
  <c r="DT51" i="24"/>
  <c r="AX51" i="24"/>
  <c r="X9" i="24"/>
  <c r="DS26" i="24"/>
  <c r="AW26" i="24"/>
  <c r="DS16" i="24"/>
  <c r="AW16" i="24"/>
  <c r="DT36" i="24"/>
  <c r="AX36" i="24"/>
  <c r="AA4" i="24"/>
  <c r="DT25" i="24"/>
  <c r="AX25" i="24"/>
  <c r="DT40" i="24"/>
  <c r="AX40" i="24"/>
  <c r="Y54" i="24"/>
  <c r="CB54" i="24"/>
  <c r="DA54" i="24"/>
  <c r="BD54" i="24"/>
  <c r="CB59" i="24"/>
  <c r="DA59" i="24"/>
  <c r="BD59" i="24"/>
  <c r="DS62" i="24"/>
  <c r="AW62" i="24"/>
  <c r="DS5" i="24"/>
  <c r="AW5" i="24"/>
  <c r="DS17" i="24"/>
  <c r="AW17" i="24"/>
  <c r="DS42" i="24"/>
  <c r="AW42" i="24"/>
  <c r="DR37" i="24"/>
  <c r="AV37" i="24"/>
  <c r="DU50" i="24"/>
  <c r="AY50" i="24"/>
  <c r="X44" i="24"/>
  <c r="X59" i="24"/>
  <c r="DS61" i="24"/>
  <c r="AW61" i="24"/>
  <c r="DR7" i="24"/>
  <c r="AV7" i="24"/>
  <c r="DT10" i="24"/>
  <c r="AX10" i="24"/>
  <c r="CZ14" i="24"/>
  <c r="CZ19" i="24"/>
  <c r="CZ29" i="24"/>
  <c r="CZ24" i="24"/>
  <c r="DR6" i="24"/>
  <c r="AV6" i="24"/>
  <c r="DT20" i="24"/>
  <c r="AX20" i="24"/>
  <c r="K1" i="8"/>
  <c r="X48" i="5"/>
  <c r="Q38" i="5"/>
  <c r="X47" i="5"/>
  <c r="Q37" i="5"/>
  <c r="E45" i="5"/>
  <c r="G9" i="20"/>
  <c r="D9" i="20"/>
  <c r="E9" i="20"/>
  <c r="AX56" i="24"/>
  <c r="DT56" i="24"/>
  <c r="AX35" i="24"/>
  <c r="DT35" i="24"/>
  <c r="DU20" i="24"/>
  <c r="AY20" i="24"/>
  <c r="DS6" i="24"/>
  <c r="AW6" i="24"/>
  <c r="DU10" i="24"/>
  <c r="AY10" i="24"/>
  <c r="DS7" i="24"/>
  <c r="AW7" i="24"/>
  <c r="DT61" i="24"/>
  <c r="AX61" i="24"/>
  <c r="Y59" i="24"/>
  <c r="Y44" i="24"/>
  <c r="DT42" i="24"/>
  <c r="AX42" i="24"/>
  <c r="DT5" i="24"/>
  <c r="AX5" i="24"/>
  <c r="DU40" i="24"/>
  <c r="AY40" i="24"/>
  <c r="AB4" i="24"/>
  <c r="DT26" i="24"/>
  <c r="AX26" i="24"/>
  <c r="DU51" i="24"/>
  <c r="AY51" i="24"/>
  <c r="BG4" i="24"/>
  <c r="EC4" i="24"/>
  <c r="CE4" i="24"/>
  <c r="DA24" i="24"/>
  <c r="DA29" i="24"/>
  <c r="DA19" i="24"/>
  <c r="DA14" i="24"/>
  <c r="DS47" i="24"/>
  <c r="AW47" i="24"/>
  <c r="DU30" i="24"/>
  <c r="AY30" i="24"/>
  <c r="DS15" i="24"/>
  <c r="AW15" i="24"/>
  <c r="DT41" i="24"/>
  <c r="AX41" i="24"/>
  <c r="DT12" i="24"/>
  <c r="AX12" i="24"/>
  <c r="CC34" i="24"/>
  <c r="DB34" i="24"/>
  <c r="BE34" i="24"/>
  <c r="Y34" i="24"/>
  <c r="Y19" i="24"/>
  <c r="DT31" i="24"/>
  <c r="AX31" i="24"/>
  <c r="DS60" i="24"/>
  <c r="AW60" i="24"/>
  <c r="DS46" i="24"/>
  <c r="AW46" i="24"/>
  <c r="DU45" i="24"/>
  <c r="AY45" i="24"/>
  <c r="DT22" i="24"/>
  <c r="AX22" i="24"/>
  <c r="DS55" i="24"/>
  <c r="AW55" i="24"/>
  <c r="DV50" i="24"/>
  <c r="AZ50" i="24"/>
  <c r="DS37" i="24"/>
  <c r="AW37" i="24"/>
  <c r="DT17" i="24"/>
  <c r="AX17" i="24"/>
  <c r="DT62" i="24"/>
  <c r="AX62" i="24"/>
  <c r="BE59" i="24"/>
  <c r="CC59" i="24"/>
  <c r="DB59" i="24"/>
  <c r="BE54" i="24"/>
  <c r="CC54" i="24"/>
  <c r="DB54" i="24"/>
  <c r="Z54" i="24"/>
  <c r="DU25" i="24"/>
  <c r="AY25" i="24"/>
  <c r="DU36" i="24"/>
  <c r="AY36" i="24"/>
  <c r="DT16" i="24"/>
  <c r="AX16" i="24"/>
  <c r="Y9" i="24"/>
  <c r="DC4" i="24"/>
  <c r="CD2" i="24"/>
  <c r="DT21" i="24"/>
  <c r="AX21" i="24"/>
  <c r="Y49" i="24"/>
  <c r="BE24" i="24"/>
  <c r="CC24" i="24"/>
  <c r="Z24" i="24"/>
  <c r="BE44" i="24"/>
  <c r="CC44" i="24"/>
  <c r="DB44" i="24"/>
  <c r="BE29" i="24"/>
  <c r="CC29" i="24"/>
  <c r="Z29" i="24"/>
  <c r="BE9" i="24"/>
  <c r="CC9" i="24"/>
  <c r="DB9" i="24"/>
  <c r="BE19" i="24"/>
  <c r="CC19" i="24"/>
  <c r="BE39" i="24"/>
  <c r="CC39" i="24"/>
  <c r="DB39" i="24"/>
  <c r="Z39" i="24"/>
  <c r="BE14" i="24"/>
  <c r="CC14" i="24"/>
  <c r="Z14" i="24"/>
  <c r="BF49" i="24"/>
  <c r="CD49" i="24"/>
  <c r="DC49" i="24"/>
  <c r="DT11" i="24"/>
  <c r="AX11" i="24"/>
  <c r="DS52" i="24"/>
  <c r="AW52" i="24"/>
  <c r="DT57" i="24"/>
  <c r="AX57" i="24"/>
  <c r="DU32" i="24"/>
  <c r="AY32" i="24"/>
  <c r="DU27" i="24"/>
  <c r="AY27" i="24"/>
  <c r="L1" i="8"/>
  <c r="E46" i="5"/>
  <c r="E47" i="5"/>
  <c r="E48" i="5"/>
  <c r="C45" i="5"/>
  <c r="F45" i="5"/>
  <c r="DU35" i="24"/>
  <c r="AY35" i="24"/>
  <c r="DU56" i="24"/>
  <c r="AY56" i="24"/>
  <c r="DU57" i="24"/>
  <c r="AY57" i="24"/>
  <c r="DU11" i="24"/>
  <c r="AY11" i="24"/>
  <c r="DB14" i="24"/>
  <c r="DB19" i="24"/>
  <c r="DB29" i="24"/>
  <c r="DB24" i="24"/>
  <c r="DU21" i="24"/>
  <c r="AY21" i="24"/>
  <c r="Z9" i="24"/>
  <c r="DV36" i="24"/>
  <c r="AZ36" i="24"/>
  <c r="DW36" i="24"/>
  <c r="DV25" i="24"/>
  <c r="AZ25" i="24"/>
  <c r="DW25" i="24"/>
  <c r="AA54" i="24"/>
  <c r="CD54" i="24"/>
  <c r="DC54" i="24"/>
  <c r="BF54" i="24"/>
  <c r="CD59" i="24"/>
  <c r="DC59" i="24"/>
  <c r="BF59" i="24"/>
  <c r="DU62" i="24"/>
  <c r="AY62" i="24"/>
  <c r="DU17" i="24"/>
  <c r="AY17" i="24"/>
  <c r="DT60" i="24"/>
  <c r="AX60" i="24"/>
  <c r="DU41" i="24"/>
  <c r="AY41" i="24"/>
  <c r="DV51" i="24"/>
  <c r="AZ51" i="24"/>
  <c r="DW51" i="24"/>
  <c r="DU26" i="24"/>
  <c r="AY26" i="24"/>
  <c r="DU5" i="24"/>
  <c r="AY5" i="24"/>
  <c r="DU61" i="24"/>
  <c r="AY61" i="24"/>
  <c r="DV10" i="24"/>
  <c r="AZ10" i="24"/>
  <c r="DW10" i="24"/>
  <c r="DV27" i="24"/>
  <c r="AZ27" i="24"/>
  <c r="DW27" i="24"/>
  <c r="DV32" i="24"/>
  <c r="AZ32" i="24"/>
  <c r="DW32" i="24"/>
  <c r="DT52" i="24"/>
  <c r="AX52" i="24"/>
  <c r="CE49" i="24"/>
  <c r="DD49" i="24"/>
  <c r="BG49" i="24"/>
  <c r="AA14" i="24"/>
  <c r="CD14" i="24"/>
  <c r="BF14" i="24"/>
  <c r="AA39" i="24"/>
  <c r="CD39" i="24"/>
  <c r="DC39" i="24"/>
  <c r="BF39" i="24"/>
  <c r="CD19" i="24"/>
  <c r="BF19" i="24"/>
  <c r="CD9" i="24"/>
  <c r="DC9" i="24"/>
  <c r="BF9" i="24"/>
  <c r="AA29" i="24"/>
  <c r="CD29" i="24"/>
  <c r="BF29" i="24"/>
  <c r="CD44" i="24"/>
  <c r="DC44" i="24"/>
  <c r="BF44" i="24"/>
  <c r="AA24" i="24"/>
  <c r="CD24" i="24"/>
  <c r="BF24" i="24"/>
  <c r="Z49" i="24"/>
  <c r="DU16" i="24"/>
  <c r="AY16" i="24"/>
  <c r="DT37" i="24"/>
  <c r="AX37" i="24"/>
  <c r="DW50" i="24"/>
  <c r="DT55" i="24"/>
  <c r="AX55" i="24"/>
  <c r="DU22" i="24"/>
  <c r="AY22" i="24"/>
  <c r="DV45" i="24"/>
  <c r="AZ45" i="24"/>
  <c r="DT46" i="24"/>
  <c r="AX46" i="24"/>
  <c r="DU31" i="24"/>
  <c r="AY31" i="24"/>
  <c r="Z19" i="24"/>
  <c r="Z34" i="24"/>
  <c r="CD34" i="24"/>
  <c r="DC34" i="24"/>
  <c r="BF34" i="24"/>
  <c r="DU12" i="24"/>
  <c r="AY12" i="24"/>
  <c r="DT15" i="24"/>
  <c r="AX15" i="24"/>
  <c r="DV30" i="24"/>
  <c r="AZ30" i="24"/>
  <c r="DT47" i="24"/>
  <c r="AX47" i="24"/>
  <c r="CE2" i="24"/>
  <c r="DD4" i="24"/>
  <c r="ED4" i="24"/>
  <c r="CF4" i="24"/>
  <c r="BH4" i="24"/>
  <c r="AC4" i="24"/>
  <c r="DV40" i="24"/>
  <c r="AZ40" i="24"/>
  <c r="DU42" i="24"/>
  <c r="AY42" i="24"/>
  <c r="Z44" i="24"/>
  <c r="Z59" i="24"/>
  <c r="DT7" i="24"/>
  <c r="AX7" i="24"/>
  <c r="DT6" i="24"/>
  <c r="AX6" i="24"/>
  <c r="DV20" i="24"/>
  <c r="AZ20" i="24"/>
  <c r="F47" i="5"/>
  <c r="F48" i="5"/>
  <c r="F46" i="5"/>
  <c r="M1" i="8"/>
  <c r="C46" i="5"/>
  <c r="C47" i="5"/>
  <c r="C48" i="5"/>
  <c r="G45" i="5"/>
  <c r="DV56" i="24"/>
  <c r="AZ56" i="24"/>
  <c r="DW56" i="24"/>
  <c r="DV35" i="24"/>
  <c r="AZ35" i="24"/>
  <c r="DW35" i="24"/>
  <c r="DV12" i="24"/>
  <c r="AZ12" i="24"/>
  <c r="DW12" i="24"/>
  <c r="DV31" i="24"/>
  <c r="AZ31" i="24"/>
  <c r="DW31" i="24"/>
  <c r="DC24" i="24"/>
  <c r="DC29" i="24"/>
  <c r="DC19" i="24"/>
  <c r="DC14" i="24"/>
  <c r="DU52" i="24"/>
  <c r="AY52" i="24"/>
  <c r="DV61" i="24"/>
  <c r="AZ61" i="24"/>
  <c r="DV5" i="24"/>
  <c r="AZ5" i="24"/>
  <c r="DV26" i="24"/>
  <c r="AZ26" i="24"/>
  <c r="DW26" i="24"/>
  <c r="DV41" i="24"/>
  <c r="AZ41" i="24"/>
  <c r="DV17" i="24"/>
  <c r="AZ17" i="24"/>
  <c r="DV62" i="24"/>
  <c r="AZ62" i="24"/>
  <c r="BG59" i="24"/>
  <c r="CE59" i="24"/>
  <c r="DD59" i="24"/>
  <c r="BG54" i="24"/>
  <c r="CE54" i="24"/>
  <c r="DD54" i="24"/>
  <c r="AB54" i="24"/>
  <c r="AA9" i="24"/>
  <c r="DV21" i="24"/>
  <c r="AZ21" i="24"/>
  <c r="DW21" i="24"/>
  <c r="DU7" i="24"/>
  <c r="AY7" i="24"/>
  <c r="DW40" i="24"/>
  <c r="AD4" i="24"/>
  <c r="BI4" i="24"/>
  <c r="EE4" i="24"/>
  <c r="CG4" i="24"/>
  <c r="DW20" i="24"/>
  <c r="DU6" i="24"/>
  <c r="AY6" i="24"/>
  <c r="AA59" i="24"/>
  <c r="AA44" i="24"/>
  <c r="DV42" i="24"/>
  <c r="AZ42" i="24"/>
  <c r="DW42" i="24"/>
  <c r="DE4" i="24"/>
  <c r="CF2" i="24"/>
  <c r="DU47" i="24"/>
  <c r="AY47" i="24"/>
  <c r="DW30" i="24"/>
  <c r="DU15" i="24"/>
  <c r="AY15" i="24"/>
  <c r="CE34" i="24"/>
  <c r="DD34" i="24"/>
  <c r="BG34" i="24"/>
  <c r="AA34" i="24"/>
  <c r="AA19" i="24"/>
  <c r="DU46" i="24"/>
  <c r="AY46" i="24"/>
  <c r="DW45" i="24"/>
  <c r="DV22" i="24"/>
  <c r="AZ22" i="24"/>
  <c r="DW22" i="24"/>
  <c r="DU55" i="24"/>
  <c r="AY55" i="24"/>
  <c r="DU37" i="24"/>
  <c r="AY37" i="24"/>
  <c r="DV16" i="24"/>
  <c r="AZ16" i="24"/>
  <c r="AA49" i="24"/>
  <c r="BG24" i="24"/>
  <c r="CE24" i="24"/>
  <c r="AB24" i="24"/>
  <c r="BG44" i="24"/>
  <c r="CE44" i="24"/>
  <c r="DD44" i="24"/>
  <c r="BG29" i="24"/>
  <c r="CE29" i="24"/>
  <c r="AB29" i="24"/>
  <c r="BG9" i="24"/>
  <c r="CE9" i="24"/>
  <c r="DD9" i="24"/>
  <c r="BG19" i="24"/>
  <c r="CE19" i="24"/>
  <c r="BG39" i="24"/>
  <c r="CE39" i="24"/>
  <c r="DD39" i="24"/>
  <c r="AB39" i="24"/>
  <c r="BG14" i="24"/>
  <c r="CE14" i="24"/>
  <c r="AB14" i="24"/>
  <c r="BH49" i="24"/>
  <c r="CF49" i="24"/>
  <c r="DE49" i="24"/>
  <c r="DU60" i="24"/>
  <c r="AY60" i="24"/>
  <c r="DV11" i="24"/>
  <c r="AZ11" i="24"/>
  <c r="DW11" i="24"/>
  <c r="DV57" i="24"/>
  <c r="AZ57" i="24"/>
  <c r="DW57" i="24"/>
  <c r="N1" i="8"/>
  <c r="G46" i="5"/>
  <c r="G47" i="5"/>
  <c r="G48" i="5"/>
  <c r="H45" i="5"/>
  <c r="DV60" i="24"/>
  <c r="AZ60" i="24"/>
  <c r="DW60" i="24"/>
  <c r="CG49" i="24"/>
  <c r="DF49" i="24"/>
  <c r="BI49" i="24"/>
  <c r="AC14" i="24"/>
  <c r="CF14" i="24"/>
  <c r="BH14" i="24"/>
  <c r="AC39" i="24"/>
  <c r="CF39" i="24"/>
  <c r="DE39" i="24"/>
  <c r="BH39" i="24"/>
  <c r="CF19" i="24"/>
  <c r="BH19" i="24"/>
  <c r="CF9" i="24"/>
  <c r="DE9" i="24"/>
  <c r="BH9" i="24"/>
  <c r="AC29" i="24"/>
  <c r="CF29" i="24"/>
  <c r="BH29" i="24"/>
  <c r="CF44" i="24"/>
  <c r="DE44" i="24"/>
  <c r="BH44" i="24"/>
  <c r="AC24" i="24"/>
  <c r="CF24" i="24"/>
  <c r="BH24" i="24"/>
  <c r="AB49" i="24"/>
  <c r="DV37" i="24"/>
  <c r="AZ37" i="24"/>
  <c r="DW37" i="24"/>
  <c r="DV47" i="24"/>
  <c r="AZ47" i="24"/>
  <c r="DW47" i="24"/>
  <c r="DV6" i="24"/>
  <c r="AZ6" i="24"/>
  <c r="DW6" i="24"/>
  <c r="CG2" i="24"/>
  <c r="DF4" i="24"/>
  <c r="EF4" i="24"/>
  <c r="CH4" i="24"/>
  <c r="BJ4" i="24"/>
  <c r="AE4" i="24"/>
  <c r="DV7" i="24"/>
  <c r="AZ7" i="24"/>
  <c r="DW7" i="24"/>
  <c r="AB9" i="24"/>
  <c r="DW62" i="24"/>
  <c r="DW17" i="24"/>
  <c r="DW41" i="24"/>
  <c r="DW5" i="24"/>
  <c r="DW61" i="24"/>
  <c r="DD14" i="24"/>
  <c r="DD19" i="24"/>
  <c r="DD29" i="24"/>
  <c r="DD24" i="24"/>
  <c r="DW16" i="24"/>
  <c r="DV55" i="24"/>
  <c r="AZ55" i="24"/>
  <c r="DV46" i="24"/>
  <c r="AZ46" i="24"/>
  <c r="AB19" i="24"/>
  <c r="AB34" i="24"/>
  <c r="CF34" i="24"/>
  <c r="DE34" i="24"/>
  <c r="BH34" i="24"/>
  <c r="DV15" i="24"/>
  <c r="AZ15" i="24"/>
  <c r="AB44" i="24"/>
  <c r="AB59" i="24"/>
  <c r="AC54" i="24"/>
  <c r="CF54" i="24"/>
  <c r="DE54" i="24"/>
  <c r="BH54" i="24"/>
  <c r="CF59" i="24"/>
  <c r="DE59" i="24"/>
  <c r="BH59" i="24"/>
  <c r="DV52" i="24"/>
  <c r="AZ52" i="24"/>
  <c r="DW52" i="24"/>
  <c r="H47" i="5"/>
  <c r="H48" i="5"/>
  <c r="H46" i="5"/>
  <c r="O1" i="8"/>
  <c r="I45" i="5"/>
  <c r="BI59" i="24"/>
  <c r="CG59" i="24"/>
  <c r="DF59" i="24"/>
  <c r="BI54" i="24"/>
  <c r="CG54" i="24"/>
  <c r="DF54" i="24"/>
  <c r="AD54" i="24"/>
  <c r="AC59" i="24"/>
  <c r="AC44" i="24"/>
  <c r="CG34" i="24"/>
  <c r="DF34" i="24"/>
  <c r="BI34" i="24"/>
  <c r="AC34" i="24"/>
  <c r="AC19" i="24"/>
  <c r="DW46" i="24"/>
  <c r="DG4" i="24"/>
  <c r="CH2" i="24"/>
  <c r="AC49" i="24"/>
  <c r="BI24" i="24"/>
  <c r="CG24" i="24"/>
  <c r="AD24" i="24"/>
  <c r="BI44" i="24"/>
  <c r="CG44" i="24"/>
  <c r="DF44" i="24"/>
  <c r="BI29" i="24"/>
  <c r="CG29" i="24"/>
  <c r="AD29" i="24"/>
  <c r="BI9" i="24"/>
  <c r="CG9" i="24"/>
  <c r="DF9" i="24"/>
  <c r="BI19" i="24"/>
  <c r="CG19" i="24"/>
  <c r="BI39" i="24"/>
  <c r="CG39" i="24"/>
  <c r="DF39" i="24"/>
  <c r="AD39" i="24"/>
  <c r="BI14" i="24"/>
  <c r="CG14" i="24"/>
  <c r="AD14" i="24"/>
  <c r="BJ49" i="24"/>
  <c r="CH49" i="24"/>
  <c r="DG49" i="24"/>
  <c r="DW15" i="24"/>
  <c r="DW55" i="24"/>
  <c r="AC9" i="24"/>
  <c r="AF60" i="24"/>
  <c r="V60" i="24"/>
  <c r="AF57" i="24"/>
  <c r="V57" i="24"/>
  <c r="AF50" i="24"/>
  <c r="V50" i="24"/>
  <c r="V47" i="24"/>
  <c r="AF35" i="24"/>
  <c r="V35" i="24"/>
  <c r="W35" i="24"/>
  <c r="AF4" i="24"/>
  <c r="V11" i="24"/>
  <c r="W11" i="24"/>
  <c r="X11" i="24"/>
  <c r="Y11" i="24"/>
  <c r="V6" i="24"/>
  <c r="V7" i="24"/>
  <c r="W7" i="24"/>
  <c r="X7" i="24"/>
  <c r="AF15" i="24"/>
  <c r="V21" i="24"/>
  <c r="W21" i="24"/>
  <c r="AF5" i="24"/>
  <c r="V10" i="24"/>
  <c r="AF11" i="24"/>
  <c r="AF12" i="24"/>
  <c r="AF26" i="24"/>
  <c r="AF31" i="24"/>
  <c r="V26" i="24"/>
  <c r="V31" i="24"/>
  <c r="V42" i="24"/>
  <c r="V46" i="24"/>
  <c r="W46" i="24"/>
  <c r="X46" i="24"/>
  <c r="Y46" i="24"/>
  <c r="V22" i="24"/>
  <c r="AF36" i="24"/>
  <c r="AF46" i="24"/>
  <c r="AF47" i="24"/>
  <c r="AF51" i="24"/>
  <c r="V37" i="24"/>
  <c r="AF55" i="24"/>
  <c r="AF56" i="24"/>
  <c r="AF52" i="24"/>
  <c r="V56" i="24"/>
  <c r="W57" i="24"/>
  <c r="W60" i="24"/>
  <c r="AF61" i="24"/>
  <c r="AF62" i="24"/>
  <c r="AF6" i="24"/>
  <c r="AF7" i="24"/>
  <c r="AF16" i="24"/>
  <c r="V5" i="24"/>
  <c r="W5" i="24"/>
  <c r="W6" i="24"/>
  <c r="X6" i="24"/>
  <c r="W10" i="24"/>
  <c r="AF10" i="24"/>
  <c r="X10" i="24"/>
  <c r="V12" i="24"/>
  <c r="V16" i="24"/>
  <c r="CA16" i="24"/>
  <c r="CZ16" i="24"/>
  <c r="CZ66" i="24"/>
  <c r="AF17" i="24"/>
  <c r="AF21" i="24"/>
  <c r="V15" i="24"/>
  <c r="V17" i="24"/>
  <c r="AF22" i="24"/>
  <c r="W26" i="24"/>
  <c r="AF27" i="24"/>
  <c r="W31" i="24"/>
  <c r="AF32" i="24"/>
  <c r="W22" i="24"/>
  <c r="X22" i="24"/>
  <c r="V36" i="24"/>
  <c r="W36" i="24"/>
  <c r="AF37" i="24"/>
  <c r="AF40" i="24"/>
  <c r="AF41" i="24"/>
  <c r="V27" i="24"/>
  <c r="V32" i="24"/>
  <c r="W32" i="24"/>
  <c r="V41" i="24"/>
  <c r="AF42" i="24"/>
  <c r="AF45" i="24"/>
  <c r="W42" i="24"/>
  <c r="V40" i="24"/>
  <c r="W40" i="24"/>
  <c r="V45" i="24"/>
  <c r="W47" i="24"/>
  <c r="V51" i="24"/>
  <c r="W50" i="24"/>
  <c r="X50" i="24"/>
  <c r="V52" i="24"/>
  <c r="W52" i="24"/>
  <c r="V55" i="24"/>
  <c r="W56" i="24"/>
  <c r="V61" i="24"/>
  <c r="W61" i="24"/>
  <c r="X61" i="24"/>
  <c r="V62" i="24"/>
  <c r="AF30" i="24"/>
  <c r="AF25" i="24"/>
  <c r="V25" i="24"/>
  <c r="AF20" i="24"/>
  <c r="V20" i="24"/>
  <c r="V30" i="24"/>
  <c r="W30" i="24"/>
  <c r="X30" i="24"/>
  <c r="Y30" i="24"/>
  <c r="Z30" i="24"/>
  <c r="AA30" i="24"/>
  <c r="AB30" i="24"/>
  <c r="AC30" i="24"/>
  <c r="AD30" i="24"/>
  <c r="W25" i="24"/>
  <c r="X25" i="24"/>
  <c r="Y25" i="24"/>
  <c r="Z25" i="24"/>
  <c r="AA25" i="24"/>
  <c r="AB25" i="24"/>
  <c r="AC25" i="24"/>
  <c r="AD25" i="24"/>
  <c r="W20" i="24"/>
  <c r="X20" i="24"/>
  <c r="Y20" i="24"/>
  <c r="Z20" i="24"/>
  <c r="AA20" i="24"/>
  <c r="AB20" i="24"/>
  <c r="AC20" i="24"/>
  <c r="AD20" i="24"/>
  <c r="BK4" i="24"/>
  <c r="EG4" i="24"/>
  <c r="CI4" i="24"/>
  <c r="DE24" i="24"/>
  <c r="DE29" i="24"/>
  <c r="DE19" i="24"/>
  <c r="DE14" i="24"/>
  <c r="I46" i="5"/>
  <c r="I47" i="5"/>
  <c r="I48" i="5"/>
  <c r="P1" i="8"/>
  <c r="D45" i="5"/>
  <c r="J45" i="5"/>
  <c r="W15" i="24"/>
  <c r="CA15" i="24"/>
  <c r="CZ15" i="24"/>
  <c r="CZ65" i="24"/>
  <c r="CZ68" i="24"/>
  <c r="X52" i="24"/>
  <c r="X32" i="24"/>
  <c r="X36" i="24"/>
  <c r="Y6" i="24"/>
  <c r="Z11" i="24"/>
  <c r="Y61" i="24"/>
  <c r="Y50" i="24"/>
  <c r="X5" i="24"/>
  <c r="CI2" i="24"/>
  <c r="DH4" i="24"/>
  <c r="BL61" i="24"/>
  <c r="EI61" i="24"/>
  <c r="BB61" i="24"/>
  <c r="BL57" i="24"/>
  <c r="EI57" i="24"/>
  <c r="BB57" i="24"/>
  <c r="BL55" i="24"/>
  <c r="EI55" i="24"/>
  <c r="BB52" i="24"/>
  <c r="BL51" i="24"/>
  <c r="EI51" i="24"/>
  <c r="BB51" i="24"/>
  <c r="BB47" i="24"/>
  <c r="BL45" i="24"/>
  <c r="EI45" i="24"/>
  <c r="BB41" i="24"/>
  <c r="BC41" i="24"/>
  <c r="BL40" i="24"/>
  <c r="EI40" i="24"/>
  <c r="BL30" i="24"/>
  <c r="EI30" i="24"/>
  <c r="BB26" i="24"/>
  <c r="BL25" i="24"/>
  <c r="EI25" i="24"/>
  <c r="EH4" i="24"/>
  <c r="CJ4" i="24"/>
  <c r="BB21" i="24"/>
  <c r="BL20" i="24"/>
  <c r="EI20" i="24"/>
  <c r="BL16" i="24"/>
  <c r="EI16" i="24"/>
  <c r="BB16" i="24"/>
  <c r="BL15" i="24"/>
  <c r="EI15" i="24"/>
  <c r="BL4" i="24"/>
  <c r="BL11" i="24"/>
  <c r="EI11" i="24"/>
  <c r="BB11" i="24"/>
  <c r="BC11" i="24"/>
  <c r="DZ11" i="24"/>
  <c r="BL5" i="24"/>
  <c r="EI5" i="24"/>
  <c r="BB5" i="24"/>
  <c r="BB15" i="24"/>
  <c r="BC6" i="24"/>
  <c r="DZ6" i="24"/>
  <c r="BB6" i="24"/>
  <c r="BL10" i="24"/>
  <c r="EI10" i="24"/>
  <c r="BL12" i="24"/>
  <c r="EI12" i="24"/>
  <c r="BL26" i="24"/>
  <c r="EI26" i="24"/>
  <c r="BC16" i="24"/>
  <c r="DZ16" i="24"/>
  <c r="BB17" i="24"/>
  <c r="BL21" i="24"/>
  <c r="EI21" i="24"/>
  <c r="BB31" i="24"/>
  <c r="BC31" i="24"/>
  <c r="BL36" i="24"/>
  <c r="EI36" i="24"/>
  <c r="BL41" i="24"/>
  <c r="EI41" i="24"/>
  <c r="BB22" i="24"/>
  <c r="BC26" i="24"/>
  <c r="DZ26" i="24"/>
  <c r="BL37" i="24"/>
  <c r="EI37" i="24"/>
  <c r="BB36" i="24"/>
  <c r="BB55" i="24"/>
  <c r="BC55" i="24"/>
  <c r="DZ55" i="24"/>
  <c r="BC47" i="24"/>
  <c r="DZ47" i="24"/>
  <c r="BL50" i="24"/>
  <c r="EI50" i="24"/>
  <c r="BC51" i="24"/>
  <c r="DZ51" i="24"/>
  <c r="BL56" i="24"/>
  <c r="EI56" i="24"/>
  <c r="BC57" i="24"/>
  <c r="DZ57" i="24"/>
  <c r="BL60" i="24"/>
  <c r="EI60" i="24"/>
  <c r="BC61" i="24"/>
  <c r="DZ61" i="24"/>
  <c r="BL7" i="24"/>
  <c r="EI7" i="24"/>
  <c r="BB12" i="24"/>
  <c r="BB20" i="24"/>
  <c r="BL6" i="24"/>
  <c r="EI6" i="24"/>
  <c r="BB7" i="24"/>
  <c r="BB10" i="24"/>
  <c r="BC10" i="24"/>
  <c r="BL17" i="24"/>
  <c r="EI17" i="24"/>
  <c r="BB30" i="24"/>
  <c r="BC30" i="24"/>
  <c r="DZ30" i="24"/>
  <c r="BL31" i="24"/>
  <c r="EI31" i="24"/>
  <c r="BC21" i="24"/>
  <c r="DZ21" i="24"/>
  <c r="BL22" i="24"/>
  <c r="EI22" i="24"/>
  <c r="BC25" i="24"/>
  <c r="DZ25" i="24"/>
  <c r="BB25" i="24"/>
  <c r="BL27" i="24"/>
  <c r="EI27" i="24"/>
  <c r="BL32" i="24"/>
  <c r="EI32" i="24"/>
  <c r="BC22" i="24"/>
  <c r="DZ22" i="24"/>
  <c r="BB40" i="24"/>
  <c r="BC40" i="24"/>
  <c r="DZ40" i="24"/>
  <c r="BL46" i="24"/>
  <c r="EI46" i="24"/>
  <c r="BB27" i="24"/>
  <c r="BC27" i="24"/>
  <c r="DZ27" i="24"/>
  <c r="BB32" i="24"/>
  <c r="BC32" i="24"/>
  <c r="DZ32" i="24"/>
  <c r="BB35" i="24"/>
  <c r="BC35" i="24"/>
  <c r="BL42" i="24"/>
  <c r="EI42" i="24"/>
  <c r="BB45" i="24"/>
  <c r="BL52" i="24"/>
  <c r="EI52" i="24"/>
  <c r="BL35" i="24"/>
  <c r="EI35" i="24"/>
  <c r="BB37" i="24"/>
  <c r="BB42" i="24"/>
  <c r="BB46" i="24"/>
  <c r="BL47" i="24"/>
  <c r="EI47" i="24"/>
  <c r="BB50" i="24"/>
  <c r="BC52" i="24"/>
  <c r="DZ52" i="24"/>
  <c r="BB56" i="24"/>
  <c r="BB60" i="24"/>
  <c r="BL62" i="24"/>
  <c r="EI62" i="24"/>
  <c r="BB62" i="24"/>
  <c r="X56" i="24"/>
  <c r="W27" i="24"/>
  <c r="X31" i="24"/>
  <c r="X21" i="24"/>
  <c r="W55" i="24"/>
  <c r="W41" i="24"/>
  <c r="W16" i="24"/>
  <c r="CB16" i="24"/>
  <c r="DA16" i="24"/>
  <c r="DA66" i="24"/>
  <c r="X35" i="24"/>
  <c r="X57" i="24"/>
  <c r="X60" i="24"/>
  <c r="CI49" i="24"/>
  <c r="DH49" i="24"/>
  <c r="BK49" i="24"/>
  <c r="AE14" i="24"/>
  <c r="CH14" i="24"/>
  <c r="BJ14" i="24"/>
  <c r="AE39" i="24"/>
  <c r="CH39" i="24"/>
  <c r="DG39" i="24"/>
  <c r="BJ39" i="24"/>
  <c r="CH19" i="24"/>
  <c r="BJ19" i="24"/>
  <c r="CH9" i="24"/>
  <c r="DG9" i="24"/>
  <c r="BJ9" i="24"/>
  <c r="AE29" i="24"/>
  <c r="CH29" i="24"/>
  <c r="BJ29" i="24"/>
  <c r="CH44" i="24"/>
  <c r="DG44" i="24"/>
  <c r="BJ44" i="24"/>
  <c r="AE24" i="24"/>
  <c r="CH24" i="24"/>
  <c r="BJ24" i="24"/>
  <c r="AD49" i="24"/>
  <c r="AD19" i="24"/>
  <c r="AD34" i="24"/>
  <c r="CH34" i="24"/>
  <c r="DG34" i="24"/>
  <c r="BJ34" i="24"/>
  <c r="AD44" i="24"/>
  <c r="AD59" i="24"/>
  <c r="W45" i="24"/>
  <c r="X26" i="24"/>
  <c r="W62" i="24"/>
  <c r="W51" i="24"/>
  <c r="X42" i="24"/>
  <c r="X40" i="24"/>
  <c r="W37" i="24"/>
  <c r="Z46" i="24"/>
  <c r="Y22" i="24"/>
  <c r="W17" i="24"/>
  <c r="W12" i="24"/>
  <c r="Y7" i="24"/>
  <c r="Y10" i="24"/>
  <c r="X47" i="24"/>
  <c r="AD9" i="24"/>
  <c r="DF14" i="24"/>
  <c r="DF19" i="24"/>
  <c r="DF29" i="24"/>
  <c r="DF24" i="24"/>
  <c r="AE54" i="24"/>
  <c r="CH54" i="24"/>
  <c r="DG54" i="24"/>
  <c r="BJ54" i="24"/>
  <c r="CH59" i="24"/>
  <c r="DG59" i="24"/>
  <c r="BJ59" i="24"/>
  <c r="J47" i="5"/>
  <c r="J48" i="5"/>
  <c r="J46" i="5"/>
  <c r="D47" i="5"/>
  <c r="D48" i="5"/>
  <c r="D46" i="5"/>
  <c r="Q1" i="8"/>
  <c r="R1" i="8"/>
  <c r="S1" i="8"/>
  <c r="T1" i="8"/>
  <c r="U1" i="8"/>
  <c r="V1" i="8"/>
  <c r="W1" i="8"/>
  <c r="X1" i="8"/>
  <c r="Y1" i="8"/>
  <c r="Z1" i="8"/>
  <c r="AA1" i="8"/>
  <c r="AB1" i="8"/>
  <c r="AC1" i="8"/>
  <c r="AD1" i="8"/>
  <c r="AE1" i="8"/>
  <c r="AF1" i="8"/>
  <c r="K45" i="5"/>
  <c r="X15" i="24"/>
  <c r="CB15" i="24"/>
  <c r="DA15" i="24"/>
  <c r="DA65" i="24"/>
  <c r="DA68" i="24"/>
  <c r="DZ31" i="24"/>
  <c r="BD31" i="24"/>
  <c r="EA31" i="24"/>
  <c r="DZ41" i="24"/>
  <c r="BD41" i="24"/>
  <c r="BD55" i="24"/>
  <c r="EA55" i="24"/>
  <c r="BD22" i="24"/>
  <c r="EA22" i="24"/>
  <c r="BD6" i="24"/>
  <c r="EA6" i="24"/>
  <c r="DZ35" i="24"/>
  <c r="BD35" i="24"/>
  <c r="DZ10" i="24"/>
  <c r="BD10" i="24"/>
  <c r="BK59" i="24"/>
  <c r="CI59" i="24"/>
  <c r="DH59" i="24"/>
  <c r="BK54" i="24"/>
  <c r="CI54" i="24"/>
  <c r="DH54" i="24"/>
  <c r="AF54" i="24"/>
  <c r="Z10" i="24"/>
  <c r="X17" i="24"/>
  <c r="X37" i="24"/>
  <c r="Y40" i="24"/>
  <c r="X51" i="24"/>
  <c r="X62" i="24"/>
  <c r="X45" i="24"/>
  <c r="AE59" i="24"/>
  <c r="AE44" i="24"/>
  <c r="CI34" i="24"/>
  <c r="DH34" i="24"/>
  <c r="BK34" i="24"/>
  <c r="AE34" i="24"/>
  <c r="AE19" i="24"/>
  <c r="AE49" i="24"/>
  <c r="BK24" i="24"/>
  <c r="CI24" i="24"/>
  <c r="AF24" i="24"/>
  <c r="BK44" i="24"/>
  <c r="CI44" i="24"/>
  <c r="DH44" i="24"/>
  <c r="BK29" i="24"/>
  <c r="CI29" i="24"/>
  <c r="AF29" i="24"/>
  <c r="BK9" i="24"/>
  <c r="CI9" i="24"/>
  <c r="DH9" i="24"/>
  <c r="BK19" i="24"/>
  <c r="CI19" i="24"/>
  <c r="BK39" i="24"/>
  <c r="CI39" i="24"/>
  <c r="DH39" i="24"/>
  <c r="AF39" i="24"/>
  <c r="BK14" i="24"/>
  <c r="CI14" i="24"/>
  <c r="AF14" i="24"/>
  <c r="BL49" i="24"/>
  <c r="CK49" i="24"/>
  <c r="DJ49" i="24"/>
  <c r="CJ49" i="24"/>
  <c r="DI49" i="24"/>
  <c r="Y35" i="24"/>
  <c r="X55" i="24"/>
  <c r="Y21" i="24"/>
  <c r="X27" i="24"/>
  <c r="Y56" i="24"/>
  <c r="DY62" i="24"/>
  <c r="DY60" i="24"/>
  <c r="DY50" i="24"/>
  <c r="DY45" i="24"/>
  <c r="DY7" i="24"/>
  <c r="DY20" i="24"/>
  <c r="BC62" i="24"/>
  <c r="BC50" i="24"/>
  <c r="DY31" i="24"/>
  <c r="BD32" i="24"/>
  <c r="BD25" i="24"/>
  <c r="DY15" i="24"/>
  <c r="DY5" i="24"/>
  <c r="BD11" i="24"/>
  <c r="BD16" i="24"/>
  <c r="DY21" i="24"/>
  <c r="DI4" i="24"/>
  <c r="CJ2" i="24"/>
  <c r="BD26" i="24"/>
  <c r="DY51" i="24"/>
  <c r="DY52" i="24"/>
  <c r="DY57" i="24"/>
  <c r="DY61" i="24"/>
  <c r="AA11" i="24"/>
  <c r="Z6" i="24"/>
  <c r="Y36" i="24"/>
  <c r="Y32" i="24"/>
  <c r="Y52" i="24"/>
  <c r="AE9" i="24"/>
  <c r="Y47" i="24"/>
  <c r="Z7" i="24"/>
  <c r="X12" i="24"/>
  <c r="Z22" i="24"/>
  <c r="AA46" i="24"/>
  <c r="Y42" i="24"/>
  <c r="Y26" i="24"/>
  <c r="DG24" i="24"/>
  <c r="DG29" i="24"/>
  <c r="DG19" i="24"/>
  <c r="DG14" i="24"/>
  <c r="Y60" i="24"/>
  <c r="Y57" i="24"/>
  <c r="X16" i="24"/>
  <c r="CC16" i="24"/>
  <c r="DB16" i="24"/>
  <c r="DB66" i="24"/>
  <c r="X41" i="24"/>
  <c r="Y31" i="24"/>
  <c r="DY56" i="24"/>
  <c r="DY46" i="24"/>
  <c r="DY42" i="24"/>
  <c r="DY37" i="24"/>
  <c r="BC42" i="24"/>
  <c r="BC45" i="24"/>
  <c r="DY35" i="24"/>
  <c r="DY32" i="24"/>
  <c r="BE31" i="24"/>
  <c r="DY27" i="24"/>
  <c r="DY40" i="24"/>
  <c r="DY25" i="24"/>
  <c r="DY30" i="24"/>
  <c r="DY10" i="24"/>
  <c r="BC7" i="24"/>
  <c r="BC20" i="24"/>
  <c r="DY12" i="24"/>
  <c r="BC56" i="24"/>
  <c r="BC60" i="24"/>
  <c r="DY55" i="24"/>
  <c r="BD52" i="24"/>
  <c r="DY36" i="24"/>
  <c r="BC46" i="24"/>
  <c r="BC37" i="24"/>
  <c r="BC36" i="24"/>
  <c r="DY22" i="24"/>
  <c r="BD40" i="24"/>
  <c r="BE22" i="24"/>
  <c r="BD27" i="24"/>
  <c r="DY17" i="24"/>
  <c r="BD30" i="24"/>
  <c r="BC17" i="24"/>
  <c r="DY6" i="24"/>
  <c r="BC5" i="24"/>
  <c r="BC15" i="24"/>
  <c r="DY11" i="24"/>
  <c r="BC12" i="24"/>
  <c r="EI4" i="24"/>
  <c r="CK4" i="24"/>
  <c r="DY16" i="24"/>
  <c r="BD21" i="24"/>
  <c r="DY26" i="24"/>
  <c r="DY41" i="24"/>
  <c r="BD47" i="24"/>
  <c r="DY47" i="24"/>
  <c r="BD51" i="24"/>
  <c r="BD57" i="24"/>
  <c r="BD61" i="24"/>
  <c r="Y5" i="24"/>
  <c r="Z50" i="24"/>
  <c r="Z61" i="24"/>
  <c r="K46" i="5"/>
  <c r="K47" i="5"/>
  <c r="K48" i="5"/>
  <c r="L45" i="5"/>
  <c r="Y15" i="24"/>
  <c r="CC15" i="24"/>
  <c r="DB15" i="24"/>
  <c r="DB65" i="24"/>
  <c r="DB68" i="24"/>
  <c r="BE6" i="24"/>
  <c r="EB6" i="24"/>
  <c r="BE55" i="24"/>
  <c r="BF55" i="24"/>
  <c r="EA41" i="24"/>
  <c r="BE41" i="24"/>
  <c r="AA61" i="24"/>
  <c r="AA50" i="24"/>
  <c r="Z5" i="24"/>
  <c r="EA61" i="24"/>
  <c r="BE61" i="24"/>
  <c r="EA51" i="24"/>
  <c r="BE51" i="24"/>
  <c r="EA21" i="24"/>
  <c r="BE21" i="24"/>
  <c r="BF6" i="24"/>
  <c r="DZ5" i="24"/>
  <c r="BD5" i="24"/>
  <c r="EA30" i="24"/>
  <c r="BE30" i="24"/>
  <c r="EB22" i="24"/>
  <c r="BF22" i="24"/>
  <c r="DZ36" i="24"/>
  <c r="BD36" i="24"/>
  <c r="EA52" i="24"/>
  <c r="BE52" i="24"/>
  <c r="DZ56" i="24"/>
  <c r="BD56" i="24"/>
  <c r="DZ7" i="24"/>
  <c r="BD7" i="24"/>
  <c r="DZ45" i="24"/>
  <c r="BD45" i="24"/>
  <c r="EB55" i="24"/>
  <c r="Z31" i="24"/>
  <c r="Y41" i="24"/>
  <c r="Y16" i="24"/>
  <c r="CD16" i="24"/>
  <c r="DC16" i="24"/>
  <c r="DC66" i="24"/>
  <c r="EA16" i="24"/>
  <c r="BE16" i="24"/>
  <c r="EA25" i="24"/>
  <c r="BE25" i="24"/>
  <c r="DZ50" i="24"/>
  <c r="BD50" i="24"/>
  <c r="CJ14" i="24"/>
  <c r="BL14" i="24"/>
  <c r="CK14" i="24"/>
  <c r="CJ39" i="24"/>
  <c r="DI39" i="24"/>
  <c r="BL39" i="24"/>
  <c r="CK39" i="24"/>
  <c r="DJ39" i="24"/>
  <c r="CJ19" i="24"/>
  <c r="BL19" i="24"/>
  <c r="CK19" i="24"/>
  <c r="CJ9" i="24"/>
  <c r="DI9" i="24"/>
  <c r="BL9" i="24"/>
  <c r="CK9" i="24"/>
  <c r="DJ9" i="24"/>
  <c r="CJ29" i="24"/>
  <c r="BL29" i="24"/>
  <c r="CK29" i="24"/>
  <c r="CJ44" i="24"/>
  <c r="DI44" i="24"/>
  <c r="BL44" i="24"/>
  <c r="CK44" i="24"/>
  <c r="DJ44" i="24"/>
  <c r="CJ24" i="24"/>
  <c r="BL24" i="24"/>
  <c r="CK24" i="24"/>
  <c r="AF49" i="24"/>
  <c r="Y45" i="24"/>
  <c r="Y62" i="24"/>
  <c r="Y51" i="24"/>
  <c r="Z40" i="24"/>
  <c r="Y37" i="24"/>
  <c r="Y17" i="24"/>
  <c r="AA10" i="24"/>
  <c r="EA10" i="24"/>
  <c r="BE10" i="24"/>
  <c r="EA35" i="24"/>
  <c r="BE35" i="24"/>
  <c r="EA57" i="24"/>
  <c r="BE57" i="24"/>
  <c r="EA47" i="24"/>
  <c r="BE47" i="24"/>
  <c r="CK2" i="24"/>
  <c r="DJ4" i="24"/>
  <c r="DZ12" i="24"/>
  <c r="BD12" i="24"/>
  <c r="DZ15" i="24"/>
  <c r="BD15" i="24"/>
  <c r="DZ17" i="24"/>
  <c r="BD17" i="24"/>
  <c r="EA27" i="24"/>
  <c r="BE27" i="24"/>
  <c r="EA40" i="24"/>
  <c r="BE40" i="24"/>
  <c r="DZ37" i="24"/>
  <c r="BD37" i="24"/>
  <c r="DZ46" i="24"/>
  <c r="BD46" i="24"/>
  <c r="DZ60" i="24"/>
  <c r="BD60" i="24"/>
  <c r="DZ20" i="24"/>
  <c r="BD20" i="24"/>
  <c r="EB31" i="24"/>
  <c r="BF31" i="24"/>
  <c r="DZ42" i="24"/>
  <c r="BD42" i="24"/>
  <c r="Z57" i="24"/>
  <c r="Z60" i="24"/>
  <c r="Z26" i="24"/>
  <c r="Z42" i="24"/>
  <c r="AB46" i="24"/>
  <c r="AA22" i="24"/>
  <c r="Y12" i="24"/>
  <c r="AA7" i="24"/>
  <c r="Z47" i="24"/>
  <c r="AF9" i="24"/>
  <c r="Z52" i="24"/>
  <c r="Z32" i="24"/>
  <c r="Z36" i="24"/>
  <c r="AA6" i="24"/>
  <c r="AB11" i="24"/>
  <c r="EA26" i="24"/>
  <c r="BE26" i="24"/>
  <c r="EA11" i="24"/>
  <c r="BE11" i="24"/>
  <c r="EA32" i="24"/>
  <c r="BE32" i="24"/>
  <c r="DZ62" i="24"/>
  <c r="BD62" i="24"/>
  <c r="Z56" i="24"/>
  <c r="Y27" i="24"/>
  <c r="Z21" i="24"/>
  <c r="Y55" i="24"/>
  <c r="Z35" i="24"/>
  <c r="DH14" i="24"/>
  <c r="DH19" i="24"/>
  <c r="DH29" i="24"/>
  <c r="DH24" i="24"/>
  <c r="AF19" i="24"/>
  <c r="AF34" i="24"/>
  <c r="CJ34" i="24"/>
  <c r="DI34" i="24"/>
  <c r="BL34" i="24"/>
  <c r="CK34" i="24"/>
  <c r="DJ34" i="24"/>
  <c r="AF44" i="24"/>
  <c r="AF59" i="24"/>
  <c r="CJ54" i="24"/>
  <c r="DI54" i="24"/>
  <c r="BL54" i="24"/>
  <c r="CK54" i="24"/>
  <c r="DJ54" i="24"/>
  <c r="CJ59" i="24"/>
  <c r="DI59" i="24"/>
  <c r="BL59" i="24"/>
  <c r="CK59" i="24"/>
  <c r="DJ59" i="24"/>
  <c r="L47" i="5"/>
  <c r="L48" i="5"/>
  <c r="L46" i="5"/>
  <c r="N45" i="5"/>
  <c r="M45" i="5"/>
  <c r="Z15" i="24"/>
  <c r="CD15" i="24"/>
  <c r="DC15" i="24"/>
  <c r="DC65" i="24"/>
  <c r="DC68" i="24"/>
  <c r="EB41" i="24"/>
  <c r="BF41" i="24"/>
  <c r="AA35" i="24"/>
  <c r="Z55" i="24"/>
  <c r="AA21" i="24"/>
  <c r="Z27" i="24"/>
  <c r="AA56" i="24"/>
  <c r="EA62" i="24"/>
  <c r="BE62" i="24"/>
  <c r="EB26" i="24"/>
  <c r="BF26" i="24"/>
  <c r="AC11" i="24"/>
  <c r="AB6" i="24"/>
  <c r="AA36" i="24"/>
  <c r="AA32" i="24"/>
  <c r="AA52" i="24"/>
  <c r="Z12" i="24"/>
  <c r="AB22" i="24"/>
  <c r="AC46" i="24"/>
  <c r="AA42" i="24"/>
  <c r="AA26" i="24"/>
  <c r="AA60" i="24"/>
  <c r="AA57" i="24"/>
  <c r="EA42" i="24"/>
  <c r="BE42" i="24"/>
  <c r="EC31" i="24"/>
  <c r="BG31" i="24"/>
  <c r="EB40" i="24"/>
  <c r="BF40" i="24"/>
  <c r="EB27" i="24"/>
  <c r="BF27" i="24"/>
  <c r="EA15" i="24"/>
  <c r="BE15" i="24"/>
  <c r="EB47" i="24"/>
  <c r="BF47" i="24"/>
  <c r="EB57" i="24"/>
  <c r="BF57" i="24"/>
  <c r="EB35" i="24"/>
  <c r="BF35" i="24"/>
  <c r="EB10" i="24"/>
  <c r="BF10" i="24"/>
  <c r="AB10" i="24"/>
  <c r="Z17" i="24"/>
  <c r="Z37" i="24"/>
  <c r="AA40" i="24"/>
  <c r="Z51" i="24"/>
  <c r="DI24" i="24"/>
  <c r="DJ29" i="24"/>
  <c r="DI19" i="24"/>
  <c r="DJ14" i="24"/>
  <c r="EB16" i="24"/>
  <c r="BF16" i="24"/>
  <c r="Z16" i="24"/>
  <c r="CE16" i="24"/>
  <c r="DD16" i="24"/>
  <c r="DD66" i="24"/>
  <c r="Z41" i="24"/>
  <c r="AA31" i="24"/>
  <c r="EA7" i="24"/>
  <c r="BE7" i="24"/>
  <c r="EA56" i="24"/>
  <c r="BE56" i="24"/>
  <c r="EA36" i="24"/>
  <c r="BE36" i="24"/>
  <c r="EB30" i="24"/>
  <c r="BF30" i="24"/>
  <c r="EB21" i="24"/>
  <c r="BF21" i="24"/>
  <c r="EB32" i="24"/>
  <c r="BF32" i="24"/>
  <c r="EB11" i="24"/>
  <c r="BF11" i="24"/>
  <c r="AA47" i="24"/>
  <c r="AB7" i="24"/>
  <c r="EA20" i="24"/>
  <c r="BE20" i="24"/>
  <c r="EA60" i="24"/>
  <c r="BE60" i="24"/>
  <c r="EA46" i="24"/>
  <c r="BE46" i="24"/>
  <c r="EA37" i="24"/>
  <c r="BE37" i="24"/>
  <c r="EA17" i="24"/>
  <c r="BE17" i="24"/>
  <c r="EA12" i="24"/>
  <c r="BE12" i="24"/>
  <c r="Z62" i="24"/>
  <c r="Z45" i="24"/>
  <c r="DJ24" i="24"/>
  <c r="DI29" i="24"/>
  <c r="DJ19" i="24"/>
  <c r="DI14" i="24"/>
  <c r="EA50" i="24"/>
  <c r="BE50" i="24"/>
  <c r="EB25" i="24"/>
  <c r="BF25" i="24"/>
  <c r="EC55" i="24"/>
  <c r="BG55" i="24"/>
  <c r="EA45" i="24"/>
  <c r="BE45" i="24"/>
  <c r="EB52" i="24"/>
  <c r="BF52" i="24"/>
  <c r="EC22" i="24"/>
  <c r="BG22" i="24"/>
  <c r="EA5" i="24"/>
  <c r="BE5" i="24"/>
  <c r="EC6" i="24"/>
  <c r="BG6" i="24"/>
  <c r="EB51" i="24"/>
  <c r="BF51" i="24"/>
  <c r="EB61" i="24"/>
  <c r="BF61" i="24"/>
  <c r="AA5" i="24"/>
  <c r="AB50" i="24"/>
  <c r="AB61" i="24"/>
  <c r="N47" i="5"/>
  <c r="N48" i="5"/>
  <c r="N46" i="5"/>
  <c r="M46" i="5"/>
  <c r="M47" i="5"/>
  <c r="M48" i="5"/>
  <c r="C53" i="23"/>
  <c r="C35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I45" i="23"/>
  <c r="H45" i="23"/>
  <c r="G45" i="23"/>
  <c r="F45" i="23"/>
  <c r="E45" i="23"/>
  <c r="D45" i="23"/>
  <c r="U42" i="23"/>
  <c r="T42" i="23"/>
  <c r="S42" i="23"/>
  <c r="S50" i="23"/>
  <c r="R42" i="23"/>
  <c r="Q42" i="23"/>
  <c r="Q50" i="23"/>
  <c r="P42" i="23"/>
  <c r="O42" i="23"/>
  <c r="O50" i="23"/>
  <c r="N42" i="23"/>
  <c r="M42" i="23"/>
  <c r="M50" i="23"/>
  <c r="L42" i="23"/>
  <c r="K42" i="23"/>
  <c r="K50" i="23"/>
  <c r="J42" i="23"/>
  <c r="I42" i="23"/>
  <c r="I50" i="23"/>
  <c r="H42" i="23"/>
  <c r="G42" i="23"/>
  <c r="G50" i="23"/>
  <c r="F42" i="23"/>
  <c r="E42" i="23"/>
  <c r="E50" i="23"/>
  <c r="D42" i="23"/>
  <c r="C42" i="23"/>
  <c r="C50" i="23"/>
  <c r="T40" i="23"/>
  <c r="T49" i="23"/>
  <c r="S40" i="23"/>
  <c r="R40" i="23"/>
  <c r="R49" i="23"/>
  <c r="Q40" i="23"/>
  <c r="P40" i="23"/>
  <c r="P49" i="23"/>
  <c r="O40" i="23"/>
  <c r="N40" i="23"/>
  <c r="N49" i="23"/>
  <c r="M40" i="23"/>
  <c r="L40" i="23"/>
  <c r="L49" i="23"/>
  <c r="K40" i="23"/>
  <c r="J40" i="23"/>
  <c r="J49" i="23"/>
  <c r="I40" i="23"/>
  <c r="H40" i="23"/>
  <c r="H49" i="23"/>
  <c r="G40" i="23"/>
  <c r="F40" i="23"/>
  <c r="F49" i="23"/>
  <c r="E40" i="23"/>
  <c r="D40" i="23"/>
  <c r="D49" i="23"/>
  <c r="C32" i="23"/>
  <c r="C29" i="23"/>
  <c r="C24" i="23"/>
  <c r="D15" i="23"/>
  <c r="E15" i="23"/>
  <c r="F15" i="23"/>
  <c r="G15" i="23"/>
  <c r="H15" i="23"/>
  <c r="I15" i="23"/>
  <c r="J15" i="23"/>
  <c r="K15" i="23"/>
  <c r="L15" i="23"/>
  <c r="M15" i="23"/>
  <c r="N15" i="23"/>
  <c r="O15" i="23"/>
  <c r="P15" i="23"/>
  <c r="Q15" i="23"/>
  <c r="R15" i="23"/>
  <c r="S15" i="23"/>
  <c r="T15" i="23"/>
  <c r="U15" i="23"/>
  <c r="V15" i="23"/>
  <c r="W15" i="23"/>
  <c r="X15" i="23"/>
  <c r="Y15" i="23"/>
  <c r="Z15" i="23"/>
  <c r="AA15" i="23"/>
  <c r="D14" i="23"/>
  <c r="E14" i="23"/>
  <c r="F14" i="23"/>
  <c r="G14" i="23"/>
  <c r="H14" i="23"/>
  <c r="I14" i="23"/>
  <c r="J14" i="23"/>
  <c r="K14" i="23"/>
  <c r="L14" i="23"/>
  <c r="M14" i="23"/>
  <c r="N14" i="23"/>
  <c r="O14" i="23"/>
  <c r="P14" i="23"/>
  <c r="Q14" i="23"/>
  <c r="R14" i="23"/>
  <c r="S14" i="23"/>
  <c r="T14" i="23"/>
  <c r="U14" i="23"/>
  <c r="V14" i="23"/>
  <c r="W14" i="23"/>
  <c r="X14" i="23"/>
  <c r="Y14" i="23"/>
  <c r="Z14" i="23"/>
  <c r="AA14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Z7" i="23"/>
  <c r="AA7" i="23"/>
  <c r="AB7" i="23"/>
  <c r="AC7" i="23"/>
  <c r="C53" i="22"/>
  <c r="C35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D45" i="22"/>
  <c r="U42" i="22"/>
  <c r="T42" i="22"/>
  <c r="S42" i="22"/>
  <c r="S50" i="22"/>
  <c r="R42" i="22"/>
  <c r="Q42" i="22"/>
  <c r="Q50" i="22"/>
  <c r="P42" i="22"/>
  <c r="O42" i="22"/>
  <c r="O50" i="22"/>
  <c r="N42" i="22"/>
  <c r="M42" i="22"/>
  <c r="M50" i="22"/>
  <c r="L42" i="22"/>
  <c r="K42" i="22"/>
  <c r="K50" i="22"/>
  <c r="J42" i="22"/>
  <c r="I42" i="22"/>
  <c r="I50" i="22"/>
  <c r="H42" i="22"/>
  <c r="G42" i="22"/>
  <c r="G50" i="22"/>
  <c r="F42" i="22"/>
  <c r="E42" i="22"/>
  <c r="E50" i="22"/>
  <c r="D42" i="22"/>
  <c r="C42" i="22"/>
  <c r="C50" i="22"/>
  <c r="T40" i="22"/>
  <c r="T49" i="22"/>
  <c r="S40" i="22"/>
  <c r="R40" i="22"/>
  <c r="R49" i="22"/>
  <c r="Q40" i="22"/>
  <c r="P40" i="22"/>
  <c r="P49" i="22"/>
  <c r="O40" i="22"/>
  <c r="N40" i="22"/>
  <c r="N49" i="22"/>
  <c r="M40" i="22"/>
  <c r="L40" i="22"/>
  <c r="L49" i="22"/>
  <c r="K40" i="22"/>
  <c r="J40" i="22"/>
  <c r="J49" i="22"/>
  <c r="I40" i="22"/>
  <c r="H40" i="22"/>
  <c r="H49" i="22"/>
  <c r="G40" i="22"/>
  <c r="F40" i="22"/>
  <c r="F49" i="22"/>
  <c r="E40" i="22"/>
  <c r="D40" i="22"/>
  <c r="D49" i="22"/>
  <c r="C32" i="22"/>
  <c r="C29" i="22"/>
  <c r="C24" i="22"/>
  <c r="D15" i="22"/>
  <c r="E15" i="22"/>
  <c r="F15" i="22"/>
  <c r="G15" i="22"/>
  <c r="H15" i="22"/>
  <c r="I15" i="22"/>
  <c r="J15" i="22"/>
  <c r="K15" i="22"/>
  <c r="L15" i="22"/>
  <c r="M15" i="22"/>
  <c r="N15" i="22"/>
  <c r="O15" i="22"/>
  <c r="P15" i="22"/>
  <c r="Q15" i="22"/>
  <c r="R15" i="22"/>
  <c r="S15" i="22"/>
  <c r="T15" i="22"/>
  <c r="U15" i="22"/>
  <c r="V15" i="22"/>
  <c r="W15" i="22"/>
  <c r="X15" i="22"/>
  <c r="Y15" i="22"/>
  <c r="Z15" i="22"/>
  <c r="AA15" i="22"/>
  <c r="D14" i="22"/>
  <c r="E14" i="22"/>
  <c r="F14" i="22"/>
  <c r="G14" i="22"/>
  <c r="H14" i="22"/>
  <c r="I14" i="22"/>
  <c r="J14" i="22"/>
  <c r="K14" i="22"/>
  <c r="L14" i="22"/>
  <c r="M14" i="22"/>
  <c r="N14" i="22"/>
  <c r="O14" i="22"/>
  <c r="P14" i="22"/>
  <c r="Q14" i="22"/>
  <c r="R14" i="22"/>
  <c r="S14" i="22"/>
  <c r="T14" i="22"/>
  <c r="U14" i="22"/>
  <c r="V14" i="22"/>
  <c r="W14" i="22"/>
  <c r="X14" i="22"/>
  <c r="Y14" i="22"/>
  <c r="Z14" i="22"/>
  <c r="AA14" i="22"/>
  <c r="D7" i="22"/>
  <c r="E7" i="22"/>
  <c r="F7" i="22"/>
  <c r="G7" i="22"/>
  <c r="H7" i="22"/>
  <c r="I7" i="22"/>
  <c r="J7" i="22"/>
  <c r="K7" i="22"/>
  <c r="L7" i="22"/>
  <c r="M7" i="22"/>
  <c r="N7" i="22"/>
  <c r="O7" i="22"/>
  <c r="P7" i="22"/>
  <c r="Q7" i="22"/>
  <c r="R7" i="22"/>
  <c r="S7" i="22"/>
  <c r="T7" i="22"/>
  <c r="U7" i="22"/>
  <c r="V7" i="22"/>
  <c r="W7" i="22"/>
  <c r="X7" i="22"/>
  <c r="Y7" i="22"/>
  <c r="Z7" i="22"/>
  <c r="AA7" i="22"/>
  <c r="AB7" i="22"/>
  <c r="AC7" i="22"/>
  <c r="C53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U42" i="21"/>
  <c r="T42" i="21"/>
  <c r="T50" i="21"/>
  <c r="S42" i="21"/>
  <c r="R42" i="21"/>
  <c r="R50" i="21"/>
  <c r="Q42" i="21"/>
  <c r="P42" i="21"/>
  <c r="P50" i="21"/>
  <c r="O42" i="21"/>
  <c r="N42" i="21"/>
  <c r="N50" i="21"/>
  <c r="M42" i="21"/>
  <c r="L42" i="21"/>
  <c r="L50" i="21"/>
  <c r="K42" i="21"/>
  <c r="J42" i="21"/>
  <c r="J50" i="21"/>
  <c r="I42" i="21"/>
  <c r="H42" i="21"/>
  <c r="H50" i="21"/>
  <c r="G42" i="21"/>
  <c r="F42" i="21"/>
  <c r="F50" i="21"/>
  <c r="E42" i="21"/>
  <c r="D42" i="21"/>
  <c r="D50" i="21"/>
  <c r="C42" i="21"/>
  <c r="T40" i="21"/>
  <c r="T49" i="21"/>
  <c r="S40" i="21"/>
  <c r="R40" i="21"/>
  <c r="R49" i="21"/>
  <c r="Q40" i="21"/>
  <c r="P40" i="21"/>
  <c r="P49" i="21"/>
  <c r="O40" i="21"/>
  <c r="N40" i="21"/>
  <c r="N49" i="21"/>
  <c r="M40" i="21"/>
  <c r="L40" i="21"/>
  <c r="L49" i="21"/>
  <c r="K40" i="21"/>
  <c r="J40" i="21"/>
  <c r="J49" i="21"/>
  <c r="I40" i="21"/>
  <c r="H40" i="21"/>
  <c r="H49" i="21"/>
  <c r="G40" i="21"/>
  <c r="F40" i="21"/>
  <c r="F49" i="21"/>
  <c r="E40" i="21"/>
  <c r="D40" i="21"/>
  <c r="D49" i="21"/>
  <c r="C35" i="21"/>
  <c r="C32" i="21"/>
  <c r="C29" i="21"/>
  <c r="C24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Z15" i="21"/>
  <c r="AA15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W14" i="21"/>
  <c r="X14" i="21"/>
  <c r="Y14" i="21"/>
  <c r="Z14" i="21"/>
  <c r="AA14" i="21"/>
  <c r="D7" i="21"/>
  <c r="E7" i="21"/>
  <c r="F7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U7" i="21"/>
  <c r="V7" i="21"/>
  <c r="W7" i="21"/>
  <c r="X7" i="21"/>
  <c r="Y7" i="21"/>
  <c r="Z7" i="21"/>
  <c r="AA7" i="21"/>
  <c r="AB7" i="21"/>
  <c r="AC7" i="21"/>
  <c r="C33" i="20"/>
  <c r="AA15" i="24"/>
  <c r="AB15" i="24"/>
  <c r="AC15" i="24"/>
  <c r="AD15" i="24"/>
  <c r="CE15" i="24"/>
  <c r="DD15" i="24"/>
  <c r="DD65" i="24"/>
  <c r="DD68" i="24"/>
  <c r="EC41" i="24"/>
  <c r="BG41" i="24"/>
  <c r="AC61" i="24"/>
  <c r="AC50" i="24"/>
  <c r="AB5" i="24"/>
  <c r="EC61" i="24"/>
  <c r="BG61" i="24"/>
  <c r="EC51" i="24"/>
  <c r="BG51" i="24"/>
  <c r="ED6" i="24"/>
  <c r="BH6" i="24"/>
  <c r="EB5" i="24"/>
  <c r="BF5" i="24"/>
  <c r="ED22" i="24"/>
  <c r="BH22" i="24"/>
  <c r="AA62" i="24"/>
  <c r="EB37" i="24"/>
  <c r="BF37" i="24"/>
  <c r="EB60" i="24"/>
  <c r="BF60" i="24"/>
  <c r="AC7" i="24"/>
  <c r="EC32" i="24"/>
  <c r="BG32" i="24"/>
  <c r="EC21" i="24"/>
  <c r="BG21" i="24"/>
  <c r="EC30" i="24"/>
  <c r="BG30" i="24"/>
  <c r="EB36" i="24"/>
  <c r="BF36" i="24"/>
  <c r="EC35" i="24"/>
  <c r="BG35" i="24"/>
  <c r="EC57" i="24"/>
  <c r="BG57" i="24"/>
  <c r="EB15" i="24"/>
  <c r="BF15" i="24"/>
  <c r="EC27" i="24"/>
  <c r="BG27" i="24"/>
  <c r="EC40" i="24"/>
  <c r="BG40" i="24"/>
  <c r="ED31" i="24"/>
  <c r="BH31" i="24"/>
  <c r="AA12" i="24"/>
  <c r="AB52" i="24"/>
  <c r="AB32" i="24"/>
  <c r="AB36" i="24"/>
  <c r="AC6" i="24"/>
  <c r="AD11" i="24"/>
  <c r="EB62" i="24"/>
  <c r="BF62" i="24"/>
  <c r="AB56" i="24"/>
  <c r="AA27" i="24"/>
  <c r="AB21" i="24"/>
  <c r="AA55" i="24"/>
  <c r="AB35" i="24"/>
  <c r="EC52" i="24"/>
  <c r="BG52" i="24"/>
  <c r="EB45" i="24"/>
  <c r="BF45" i="24"/>
  <c r="ED55" i="24"/>
  <c r="BH55" i="24"/>
  <c r="EC25" i="24"/>
  <c r="BG25" i="24"/>
  <c r="EB50" i="24"/>
  <c r="BF50" i="24"/>
  <c r="AA45" i="24"/>
  <c r="EB12" i="24"/>
  <c r="BF12" i="24"/>
  <c r="EB17" i="24"/>
  <c r="BF17" i="24"/>
  <c r="EB46" i="24"/>
  <c r="BF46" i="24"/>
  <c r="EB20" i="24"/>
  <c r="BF20" i="24"/>
  <c r="AB47" i="24"/>
  <c r="EC11" i="24"/>
  <c r="BG11" i="24"/>
  <c r="EB56" i="24"/>
  <c r="BF56" i="24"/>
  <c r="EB7" i="24"/>
  <c r="BF7" i="24"/>
  <c r="AB31" i="24"/>
  <c r="AA41" i="24"/>
  <c r="AA16" i="24"/>
  <c r="EC16" i="24"/>
  <c r="BG16" i="24"/>
  <c r="AA51" i="24"/>
  <c r="AB40" i="24"/>
  <c r="AA37" i="24"/>
  <c r="AA17" i="24"/>
  <c r="AC10" i="24"/>
  <c r="EC10" i="24"/>
  <c r="BG10" i="24"/>
  <c r="EC47" i="24"/>
  <c r="BG47" i="24"/>
  <c r="EB42" i="24"/>
  <c r="BF42" i="24"/>
  <c r="AB57" i="24"/>
  <c r="AB60" i="24"/>
  <c r="AB26" i="24"/>
  <c r="AB42" i="24"/>
  <c r="AD46" i="24"/>
  <c r="AC22" i="24"/>
  <c r="EC26" i="24"/>
  <c r="BG26" i="24"/>
  <c r="O47" i="5"/>
  <c r="T47" i="5"/>
  <c r="C50" i="21"/>
  <c r="D51" i="21"/>
  <c r="E50" i="21"/>
  <c r="G50" i="21"/>
  <c r="G51" i="21"/>
  <c r="I50" i="21"/>
  <c r="K50" i="21"/>
  <c r="K51" i="21"/>
  <c r="M50" i="21"/>
  <c r="O50" i="21"/>
  <c r="O51" i="21"/>
  <c r="Q50" i="21"/>
  <c r="S50" i="21"/>
  <c r="S51" i="21"/>
  <c r="D50" i="22"/>
  <c r="F50" i="22"/>
  <c r="F33" i="22"/>
  <c r="H50" i="22"/>
  <c r="J50" i="22"/>
  <c r="J33" i="22"/>
  <c r="L50" i="22"/>
  <c r="N50" i="22"/>
  <c r="N33" i="22"/>
  <c r="P50" i="22"/>
  <c r="R50" i="22"/>
  <c r="R33" i="22"/>
  <c r="T50" i="22"/>
  <c r="D50" i="23"/>
  <c r="D33" i="23"/>
  <c r="F50" i="23"/>
  <c r="H50" i="23"/>
  <c r="H33" i="23"/>
  <c r="J50" i="23"/>
  <c r="L50" i="23"/>
  <c r="L33" i="23"/>
  <c r="N50" i="23"/>
  <c r="P50" i="23"/>
  <c r="P33" i="23"/>
  <c r="R50" i="23"/>
  <c r="T50" i="23"/>
  <c r="T33" i="23"/>
  <c r="U33" i="23"/>
  <c r="V33" i="23"/>
  <c r="W33" i="23"/>
  <c r="X33" i="23"/>
  <c r="Y33" i="23"/>
  <c r="Z33" i="23"/>
  <c r="O48" i="5"/>
  <c r="T48" i="5"/>
  <c r="E41" i="22"/>
  <c r="C37" i="21"/>
  <c r="D37" i="21"/>
  <c r="E37" i="21"/>
  <c r="F37" i="21"/>
  <c r="G37" i="21"/>
  <c r="H37" i="21"/>
  <c r="I37" i="21"/>
  <c r="J37" i="21"/>
  <c r="K37" i="21"/>
  <c r="L37" i="21"/>
  <c r="M37" i="21"/>
  <c r="N37" i="21"/>
  <c r="O37" i="21"/>
  <c r="P37" i="21"/>
  <c r="Q37" i="21"/>
  <c r="R37" i="21"/>
  <c r="S37" i="21"/>
  <c r="T37" i="21"/>
  <c r="U37" i="21"/>
  <c r="V37" i="21"/>
  <c r="W37" i="21"/>
  <c r="X37" i="21"/>
  <c r="Y37" i="21"/>
  <c r="Z37" i="21"/>
  <c r="AA37" i="21"/>
  <c r="E41" i="21"/>
  <c r="G41" i="21"/>
  <c r="I41" i="21"/>
  <c r="K41" i="21"/>
  <c r="M41" i="21"/>
  <c r="O41" i="21"/>
  <c r="Q41" i="21"/>
  <c r="S41" i="21"/>
  <c r="I48" i="22"/>
  <c r="K48" i="22"/>
  <c r="M48" i="22"/>
  <c r="O48" i="22"/>
  <c r="Q48" i="22"/>
  <c r="S48" i="22"/>
  <c r="U48" i="22"/>
  <c r="C36" i="23"/>
  <c r="I48" i="21"/>
  <c r="K48" i="21"/>
  <c r="M48" i="21"/>
  <c r="Q48" i="21"/>
  <c r="S48" i="21"/>
  <c r="U48" i="21"/>
  <c r="C36" i="22"/>
  <c r="C37" i="23"/>
  <c r="D37" i="23"/>
  <c r="E37" i="23"/>
  <c r="F37" i="23"/>
  <c r="G37" i="23"/>
  <c r="H37" i="23"/>
  <c r="I37" i="23"/>
  <c r="J37" i="23"/>
  <c r="K37" i="23"/>
  <c r="L37" i="23"/>
  <c r="M37" i="23"/>
  <c r="N37" i="23"/>
  <c r="O37" i="23"/>
  <c r="P37" i="23"/>
  <c r="Q37" i="23"/>
  <c r="R37" i="23"/>
  <c r="S37" i="23"/>
  <c r="T37" i="23"/>
  <c r="U37" i="23"/>
  <c r="V37" i="23"/>
  <c r="W37" i="23"/>
  <c r="X37" i="23"/>
  <c r="Y37" i="23"/>
  <c r="Z37" i="23"/>
  <c r="AA37" i="23"/>
  <c r="E41" i="23"/>
  <c r="G41" i="23"/>
  <c r="I41" i="23"/>
  <c r="K41" i="23"/>
  <c r="M41" i="23"/>
  <c r="O41" i="23"/>
  <c r="Q41" i="23"/>
  <c r="S41" i="23"/>
  <c r="G48" i="23"/>
  <c r="I48" i="23"/>
  <c r="K48" i="23"/>
  <c r="M48" i="23"/>
  <c r="O48" i="23"/>
  <c r="Q48" i="23"/>
  <c r="U48" i="23"/>
  <c r="C36" i="21"/>
  <c r="F46" i="23"/>
  <c r="H46" i="23"/>
  <c r="J46" i="23"/>
  <c r="L46" i="23"/>
  <c r="N46" i="23"/>
  <c r="P46" i="23"/>
  <c r="R46" i="23"/>
  <c r="T46" i="23"/>
  <c r="E48" i="23"/>
  <c r="S48" i="23"/>
  <c r="U43" i="23"/>
  <c r="U4" i="23"/>
  <c r="V4" i="23"/>
  <c r="W4" i="23"/>
  <c r="X4" i="23"/>
  <c r="Y4" i="23"/>
  <c r="Z4" i="23"/>
  <c r="E46" i="23"/>
  <c r="G46" i="23"/>
  <c r="I46" i="23"/>
  <c r="K46" i="23"/>
  <c r="M46" i="23"/>
  <c r="O46" i="23"/>
  <c r="Q46" i="23"/>
  <c r="S46" i="23"/>
  <c r="U46" i="23"/>
  <c r="D48" i="23"/>
  <c r="F48" i="23"/>
  <c r="H48" i="23"/>
  <c r="J48" i="23"/>
  <c r="L48" i="23"/>
  <c r="N48" i="23"/>
  <c r="P48" i="23"/>
  <c r="R48" i="23"/>
  <c r="T48" i="23"/>
  <c r="D51" i="23"/>
  <c r="F51" i="23"/>
  <c r="F33" i="23"/>
  <c r="J51" i="23"/>
  <c r="J33" i="23"/>
  <c r="N51" i="23"/>
  <c r="N33" i="23"/>
  <c r="R51" i="23"/>
  <c r="R33" i="23"/>
  <c r="E33" i="23"/>
  <c r="G51" i="23"/>
  <c r="G33" i="23"/>
  <c r="I33" i="23"/>
  <c r="K51" i="23"/>
  <c r="K33" i="23"/>
  <c r="M33" i="23"/>
  <c r="O51" i="23"/>
  <c r="O33" i="23"/>
  <c r="Q33" i="23"/>
  <c r="S51" i="23"/>
  <c r="S33" i="23"/>
  <c r="F41" i="23"/>
  <c r="H41" i="23"/>
  <c r="J41" i="23"/>
  <c r="L41" i="23"/>
  <c r="N41" i="23"/>
  <c r="P41" i="23"/>
  <c r="R41" i="23"/>
  <c r="T41" i="23"/>
  <c r="U41" i="23"/>
  <c r="E43" i="23"/>
  <c r="E4" i="23"/>
  <c r="G43" i="23"/>
  <c r="G4" i="23"/>
  <c r="I43" i="23"/>
  <c r="I4" i="23"/>
  <c r="K43" i="23"/>
  <c r="K4" i="23"/>
  <c r="M43" i="23"/>
  <c r="M4" i="23"/>
  <c r="O43" i="23"/>
  <c r="O4" i="23"/>
  <c r="Q43" i="23"/>
  <c r="Q4" i="23"/>
  <c r="S43" i="23"/>
  <c r="S4" i="23"/>
  <c r="E49" i="23"/>
  <c r="G49" i="23"/>
  <c r="I49" i="23"/>
  <c r="K49" i="23"/>
  <c r="M49" i="23"/>
  <c r="O49" i="23"/>
  <c r="Q49" i="23"/>
  <c r="S49" i="23"/>
  <c r="D43" i="23"/>
  <c r="D4" i="23"/>
  <c r="F43" i="23"/>
  <c r="F4" i="23"/>
  <c r="H43" i="23"/>
  <c r="H4" i="23"/>
  <c r="J43" i="23"/>
  <c r="J4" i="23"/>
  <c r="L43" i="23"/>
  <c r="L4" i="23"/>
  <c r="N43" i="23"/>
  <c r="N4" i="23"/>
  <c r="P43" i="23"/>
  <c r="P4" i="23"/>
  <c r="R43" i="23"/>
  <c r="R4" i="23"/>
  <c r="T43" i="23"/>
  <c r="T4" i="23"/>
  <c r="G41" i="22"/>
  <c r="U43" i="22"/>
  <c r="U4" i="22"/>
  <c r="V4" i="22"/>
  <c r="W4" i="22"/>
  <c r="X4" i="22"/>
  <c r="Y4" i="22"/>
  <c r="Z4" i="22"/>
  <c r="C37" i="22"/>
  <c r="D37" i="22"/>
  <c r="E37" i="22"/>
  <c r="F37" i="22"/>
  <c r="G37" i="22"/>
  <c r="H37" i="22"/>
  <c r="I37" i="22"/>
  <c r="J37" i="22"/>
  <c r="K37" i="22"/>
  <c r="L37" i="22"/>
  <c r="M37" i="22"/>
  <c r="N37" i="22"/>
  <c r="O37" i="22"/>
  <c r="P37" i="22"/>
  <c r="Q37" i="22"/>
  <c r="R37" i="22"/>
  <c r="S37" i="22"/>
  <c r="T37" i="22"/>
  <c r="U37" i="22"/>
  <c r="V37" i="22"/>
  <c r="W37" i="22"/>
  <c r="X37" i="22"/>
  <c r="Y37" i="22"/>
  <c r="Z37" i="22"/>
  <c r="AA37" i="22"/>
  <c r="I41" i="22"/>
  <c r="K41" i="22"/>
  <c r="M41" i="22"/>
  <c r="O41" i="22"/>
  <c r="Q41" i="22"/>
  <c r="S41" i="22"/>
  <c r="F46" i="22"/>
  <c r="H46" i="22"/>
  <c r="J46" i="22"/>
  <c r="L46" i="22"/>
  <c r="N46" i="22"/>
  <c r="P46" i="22"/>
  <c r="R46" i="22"/>
  <c r="T46" i="22"/>
  <c r="E48" i="22"/>
  <c r="G48" i="22"/>
  <c r="E46" i="22"/>
  <c r="G46" i="22"/>
  <c r="I46" i="22"/>
  <c r="K46" i="22"/>
  <c r="M46" i="22"/>
  <c r="O46" i="22"/>
  <c r="Q46" i="22"/>
  <c r="S46" i="22"/>
  <c r="U46" i="22"/>
  <c r="D48" i="22"/>
  <c r="F48" i="22"/>
  <c r="H48" i="22"/>
  <c r="J48" i="22"/>
  <c r="L48" i="22"/>
  <c r="N48" i="22"/>
  <c r="P48" i="22"/>
  <c r="R48" i="22"/>
  <c r="T48" i="22"/>
  <c r="D51" i="22"/>
  <c r="D33" i="22"/>
  <c r="H51" i="22"/>
  <c r="H33" i="22"/>
  <c r="L51" i="22"/>
  <c r="L33" i="22"/>
  <c r="P51" i="22"/>
  <c r="P33" i="22"/>
  <c r="T51" i="22"/>
  <c r="T33" i="22"/>
  <c r="U33" i="22"/>
  <c r="V33" i="22"/>
  <c r="W33" i="22"/>
  <c r="X33" i="22"/>
  <c r="Y33" i="22"/>
  <c r="Z33" i="22"/>
  <c r="E51" i="22"/>
  <c r="E33" i="22"/>
  <c r="G33" i="22"/>
  <c r="I51" i="22"/>
  <c r="I33" i="22"/>
  <c r="K33" i="22"/>
  <c r="M51" i="22"/>
  <c r="M33" i="22"/>
  <c r="O33" i="22"/>
  <c r="Q51" i="22"/>
  <c r="Q33" i="22"/>
  <c r="S33" i="22"/>
  <c r="F41" i="22"/>
  <c r="H41" i="22"/>
  <c r="J41" i="22"/>
  <c r="L41" i="22"/>
  <c r="N41" i="22"/>
  <c r="P41" i="22"/>
  <c r="R41" i="22"/>
  <c r="T41" i="22"/>
  <c r="U41" i="22"/>
  <c r="E43" i="22"/>
  <c r="E4" i="22"/>
  <c r="G43" i="22"/>
  <c r="G4" i="22"/>
  <c r="I43" i="22"/>
  <c r="I4" i="22"/>
  <c r="K43" i="22"/>
  <c r="K4" i="22"/>
  <c r="M43" i="22"/>
  <c r="M4" i="22"/>
  <c r="O43" i="22"/>
  <c r="O4" i="22"/>
  <c r="Q43" i="22"/>
  <c r="Q4" i="22"/>
  <c r="S43" i="22"/>
  <c r="S4" i="22"/>
  <c r="E49" i="22"/>
  <c r="G49" i="22"/>
  <c r="I49" i="22"/>
  <c r="K49" i="22"/>
  <c r="M49" i="22"/>
  <c r="O49" i="22"/>
  <c r="Q49" i="22"/>
  <c r="S49" i="22"/>
  <c r="D43" i="22"/>
  <c r="D4" i="22"/>
  <c r="F43" i="22"/>
  <c r="F4" i="22"/>
  <c r="H43" i="22"/>
  <c r="H4" i="22"/>
  <c r="J43" i="22"/>
  <c r="J4" i="22"/>
  <c r="L43" i="22"/>
  <c r="L4" i="22"/>
  <c r="N43" i="22"/>
  <c r="N4" i="22"/>
  <c r="P43" i="22"/>
  <c r="P4" i="22"/>
  <c r="R43" i="22"/>
  <c r="R4" i="22"/>
  <c r="T43" i="22"/>
  <c r="T4" i="22"/>
  <c r="F46" i="21"/>
  <c r="H46" i="21"/>
  <c r="J46" i="21"/>
  <c r="L46" i="21"/>
  <c r="N46" i="21"/>
  <c r="P46" i="21"/>
  <c r="R46" i="21"/>
  <c r="T46" i="21"/>
  <c r="E48" i="21"/>
  <c r="G48" i="21"/>
  <c r="O48" i="21"/>
  <c r="U43" i="21"/>
  <c r="U4" i="21"/>
  <c r="V4" i="21"/>
  <c r="W4" i="21"/>
  <c r="X4" i="21"/>
  <c r="Y4" i="21"/>
  <c r="Z4" i="21"/>
  <c r="E46" i="21"/>
  <c r="G46" i="21"/>
  <c r="I46" i="21"/>
  <c r="K46" i="21"/>
  <c r="M46" i="21"/>
  <c r="O46" i="21"/>
  <c r="Q46" i="21"/>
  <c r="S46" i="21"/>
  <c r="U46" i="21"/>
  <c r="D48" i="21"/>
  <c r="F48" i="21"/>
  <c r="H48" i="21"/>
  <c r="J48" i="21"/>
  <c r="L48" i="21"/>
  <c r="N48" i="21"/>
  <c r="P48" i="21"/>
  <c r="R48" i="21"/>
  <c r="T48" i="21"/>
  <c r="G33" i="21"/>
  <c r="K33" i="21"/>
  <c r="O33" i="21"/>
  <c r="S33" i="21"/>
  <c r="D33" i="21"/>
  <c r="F51" i="21"/>
  <c r="F33" i="21"/>
  <c r="H33" i="21"/>
  <c r="J51" i="21"/>
  <c r="J33" i="21"/>
  <c r="L33" i="21"/>
  <c r="N51" i="21"/>
  <c r="N33" i="21"/>
  <c r="P33" i="21"/>
  <c r="R51" i="21"/>
  <c r="R33" i="21"/>
  <c r="T33" i="21"/>
  <c r="U33" i="21"/>
  <c r="V33" i="21"/>
  <c r="W33" i="21"/>
  <c r="X33" i="21"/>
  <c r="Y33" i="21"/>
  <c r="Z33" i="21"/>
  <c r="E51" i="21"/>
  <c r="E33" i="21"/>
  <c r="I51" i="21"/>
  <c r="I33" i="21"/>
  <c r="M51" i="21"/>
  <c r="M33" i="21"/>
  <c r="Q51" i="21"/>
  <c r="Q33" i="21"/>
  <c r="F41" i="21"/>
  <c r="H41" i="21"/>
  <c r="J41" i="21"/>
  <c r="L41" i="21"/>
  <c r="N41" i="21"/>
  <c r="P41" i="21"/>
  <c r="R41" i="21"/>
  <c r="T41" i="21"/>
  <c r="U41" i="21"/>
  <c r="E43" i="21"/>
  <c r="E4" i="21"/>
  <c r="G43" i="21"/>
  <c r="G4" i="21"/>
  <c r="I43" i="21"/>
  <c r="I4" i="21"/>
  <c r="K43" i="21"/>
  <c r="K4" i="21"/>
  <c r="M43" i="21"/>
  <c r="M4" i="21"/>
  <c r="O43" i="21"/>
  <c r="O4" i="21"/>
  <c r="Q43" i="21"/>
  <c r="Q4" i="21"/>
  <c r="S43" i="21"/>
  <c r="S4" i="21"/>
  <c r="E49" i="21"/>
  <c r="G49" i="21"/>
  <c r="I49" i="21"/>
  <c r="K49" i="21"/>
  <c r="M49" i="21"/>
  <c r="O49" i="21"/>
  <c r="Q49" i="21"/>
  <c r="S49" i="21"/>
  <c r="D43" i="21"/>
  <c r="D4" i="21"/>
  <c r="F43" i="21"/>
  <c r="F4" i="21"/>
  <c r="H43" i="21"/>
  <c r="H4" i="21"/>
  <c r="J43" i="21"/>
  <c r="J4" i="21"/>
  <c r="L43" i="21"/>
  <c r="L4" i="21"/>
  <c r="N43" i="21"/>
  <c r="N4" i="21"/>
  <c r="P43" i="21"/>
  <c r="P4" i="21"/>
  <c r="R43" i="21"/>
  <c r="R4" i="21"/>
  <c r="T43" i="21"/>
  <c r="T4" i="21"/>
  <c r="R51" i="22"/>
  <c r="J51" i="22"/>
  <c r="ED41" i="24"/>
  <c r="BH41" i="24"/>
  <c r="ED26" i="24"/>
  <c r="BH26" i="24"/>
  <c r="AD22" i="24"/>
  <c r="AC42" i="24"/>
  <c r="AC26" i="24"/>
  <c r="AC60" i="24"/>
  <c r="AC57" i="24"/>
  <c r="EC42" i="24"/>
  <c r="BG42" i="24"/>
  <c r="ED10" i="24"/>
  <c r="BH10" i="24"/>
  <c r="AD10" i="24"/>
  <c r="AB17" i="24"/>
  <c r="AB37" i="24"/>
  <c r="AC40" i="24"/>
  <c r="AB51" i="24"/>
  <c r="ED16" i="24"/>
  <c r="BH16" i="24"/>
  <c r="AB16" i="24"/>
  <c r="AB41" i="24"/>
  <c r="AC31" i="24"/>
  <c r="EC7" i="24"/>
  <c r="BG7" i="24"/>
  <c r="AC47" i="24"/>
  <c r="EC46" i="24"/>
  <c r="BG46" i="24"/>
  <c r="EC17" i="24"/>
  <c r="BG17" i="24"/>
  <c r="EC50" i="24"/>
  <c r="BG50" i="24"/>
  <c r="EE55" i="24"/>
  <c r="BI55" i="24"/>
  <c r="AC35" i="24"/>
  <c r="AB55" i="24"/>
  <c r="AC21" i="24"/>
  <c r="AB27" i="24"/>
  <c r="AC56" i="24"/>
  <c r="EC62" i="24"/>
  <c r="BG62" i="24"/>
  <c r="AB12" i="24"/>
  <c r="ED40" i="24"/>
  <c r="BH40" i="24"/>
  <c r="EC36" i="24"/>
  <c r="BG36" i="24"/>
  <c r="ED30" i="24"/>
  <c r="BH30" i="24"/>
  <c r="AB62" i="24"/>
  <c r="EC5" i="24"/>
  <c r="BG5" i="24"/>
  <c r="ED51" i="24"/>
  <c r="BH51" i="24"/>
  <c r="ED47" i="24"/>
  <c r="BH47" i="24"/>
  <c r="EC56" i="24"/>
  <c r="BG56" i="24"/>
  <c r="ED11" i="24"/>
  <c r="BH11" i="24"/>
  <c r="EC20" i="24"/>
  <c r="BG20" i="24"/>
  <c r="EC12" i="24"/>
  <c r="BG12" i="24"/>
  <c r="AB45" i="24"/>
  <c r="ED25" i="24"/>
  <c r="BH25" i="24"/>
  <c r="EC45" i="24"/>
  <c r="BG45" i="24"/>
  <c r="ED52" i="24"/>
  <c r="BH52" i="24"/>
  <c r="AD6" i="24"/>
  <c r="AC36" i="24"/>
  <c r="AC32" i="24"/>
  <c r="AC52" i="24"/>
  <c r="EE31" i="24"/>
  <c r="BI31" i="24"/>
  <c r="ED27" i="24"/>
  <c r="BH27" i="24"/>
  <c r="EC15" i="24"/>
  <c r="BG15" i="24"/>
  <c r="ED57" i="24"/>
  <c r="BH57" i="24"/>
  <c r="ED35" i="24"/>
  <c r="BH35" i="24"/>
  <c r="ED21" i="24"/>
  <c r="BH21" i="24"/>
  <c r="ED32" i="24"/>
  <c r="BH32" i="24"/>
  <c r="AD7" i="24"/>
  <c r="EC60" i="24"/>
  <c r="BG60" i="24"/>
  <c r="EC37" i="24"/>
  <c r="BG37" i="24"/>
  <c r="EE22" i="24"/>
  <c r="BI22" i="24"/>
  <c r="EE6" i="24"/>
  <c r="BI6" i="24"/>
  <c r="ED61" i="24"/>
  <c r="BH61" i="24"/>
  <c r="AC5" i="24"/>
  <c r="AD50" i="24"/>
  <c r="AD61" i="24"/>
  <c r="T51" i="23"/>
  <c r="S51" i="22"/>
  <c r="O51" i="22"/>
  <c r="K51" i="22"/>
  <c r="G51" i="22"/>
  <c r="N51" i="22"/>
  <c r="F51" i="22"/>
  <c r="L51" i="23"/>
  <c r="Q51" i="23"/>
  <c r="M51" i="23"/>
  <c r="I51" i="23"/>
  <c r="E51" i="23"/>
  <c r="P51" i="23"/>
  <c r="H51" i="23"/>
  <c r="S48" i="5"/>
  <c r="W48" i="5"/>
  <c r="U48" i="5"/>
  <c r="Y48" i="5"/>
  <c r="T51" i="21"/>
  <c r="P51" i="21"/>
  <c r="L51" i="21"/>
  <c r="H51" i="21"/>
  <c r="S47" i="5"/>
  <c r="W47" i="5"/>
  <c r="U47" i="5"/>
  <c r="Y47" i="5"/>
  <c r="C54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T41" i="20"/>
  <c r="T50" i="20"/>
  <c r="S41" i="20"/>
  <c r="R41" i="20"/>
  <c r="R50" i="20"/>
  <c r="Q41" i="20"/>
  <c r="P41" i="20"/>
  <c r="P50" i="20"/>
  <c r="O41" i="20"/>
  <c r="N41" i="20"/>
  <c r="N50" i="20"/>
  <c r="M41" i="20"/>
  <c r="L41" i="20"/>
  <c r="L50" i="20"/>
  <c r="K41" i="20"/>
  <c r="J41" i="20"/>
  <c r="J50" i="20"/>
  <c r="I41" i="20"/>
  <c r="H41" i="20"/>
  <c r="H50" i="20"/>
  <c r="G41" i="20"/>
  <c r="F41" i="20"/>
  <c r="F50" i="20"/>
  <c r="E41" i="20"/>
  <c r="D41" i="20"/>
  <c r="D50" i="20"/>
  <c r="C36" i="20"/>
  <c r="C30" i="20"/>
  <c r="C25" i="20"/>
  <c r="D7" i="20"/>
  <c r="E7" i="20"/>
  <c r="F7" i="20"/>
  <c r="G7" i="20"/>
  <c r="H7" i="20"/>
  <c r="I7" i="20"/>
  <c r="J7" i="20"/>
  <c r="K7" i="20"/>
  <c r="L7" i="20"/>
  <c r="M7" i="20"/>
  <c r="N7" i="20"/>
  <c r="O7" i="20"/>
  <c r="P7" i="20"/>
  <c r="Q7" i="20"/>
  <c r="R7" i="20"/>
  <c r="S7" i="20"/>
  <c r="T7" i="20"/>
  <c r="U7" i="20"/>
  <c r="V7" i="20"/>
  <c r="W7" i="20"/>
  <c r="X7" i="20"/>
  <c r="Y7" i="20"/>
  <c r="Z7" i="20"/>
  <c r="AA7" i="20"/>
  <c r="AB7" i="20"/>
  <c r="AC7" i="20"/>
  <c r="C53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U42" i="19"/>
  <c r="T42" i="19"/>
  <c r="T50" i="19"/>
  <c r="S42" i="19"/>
  <c r="R42" i="19"/>
  <c r="R50" i="19"/>
  <c r="Q42" i="19"/>
  <c r="P42" i="19"/>
  <c r="P50" i="19"/>
  <c r="O42" i="19"/>
  <c r="N42" i="19"/>
  <c r="N50" i="19"/>
  <c r="M42" i="19"/>
  <c r="L42" i="19"/>
  <c r="L50" i="19"/>
  <c r="K42" i="19"/>
  <c r="J42" i="19"/>
  <c r="J50" i="19"/>
  <c r="I42" i="19"/>
  <c r="H42" i="19"/>
  <c r="H50" i="19"/>
  <c r="G42" i="19"/>
  <c r="F42" i="19"/>
  <c r="F50" i="19"/>
  <c r="E42" i="19"/>
  <c r="D42" i="19"/>
  <c r="D50" i="19"/>
  <c r="C42" i="19"/>
  <c r="T40" i="19"/>
  <c r="T49" i="19"/>
  <c r="S40" i="19"/>
  <c r="R40" i="19"/>
  <c r="R49" i="19"/>
  <c r="Q40" i="19"/>
  <c r="P40" i="19"/>
  <c r="P49" i="19"/>
  <c r="O40" i="19"/>
  <c r="N40" i="19"/>
  <c r="N49" i="19"/>
  <c r="M40" i="19"/>
  <c r="L40" i="19"/>
  <c r="L49" i="19"/>
  <c r="K40" i="19"/>
  <c r="J40" i="19"/>
  <c r="J49" i="19"/>
  <c r="I40" i="19"/>
  <c r="H40" i="19"/>
  <c r="H49" i="19"/>
  <c r="G40" i="19"/>
  <c r="F40" i="19"/>
  <c r="F49" i="19"/>
  <c r="E40" i="19"/>
  <c r="D40" i="19"/>
  <c r="D49" i="19"/>
  <c r="C35" i="19"/>
  <c r="C32" i="19"/>
  <c r="C29" i="19"/>
  <c r="C24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U15" i="19"/>
  <c r="V15" i="19"/>
  <c r="W15" i="19"/>
  <c r="X15" i="19"/>
  <c r="Y15" i="19"/>
  <c r="Z15" i="19"/>
  <c r="AA15" i="19"/>
  <c r="D14" i="19"/>
  <c r="E14" i="19"/>
  <c r="F14" i="19"/>
  <c r="G14" i="19"/>
  <c r="H14" i="19"/>
  <c r="I14" i="19"/>
  <c r="J14" i="19"/>
  <c r="K14" i="19"/>
  <c r="L14" i="19"/>
  <c r="M14" i="19"/>
  <c r="N14" i="19"/>
  <c r="O14" i="19"/>
  <c r="P14" i="19"/>
  <c r="Q14" i="19"/>
  <c r="R14" i="19"/>
  <c r="S14" i="19"/>
  <c r="T14" i="19"/>
  <c r="U14" i="19"/>
  <c r="V14" i="19"/>
  <c r="W14" i="19"/>
  <c r="X14" i="19"/>
  <c r="Y14" i="19"/>
  <c r="Z14" i="19"/>
  <c r="AA14" i="19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U7" i="19"/>
  <c r="V7" i="19"/>
  <c r="W7" i="19"/>
  <c r="X7" i="19"/>
  <c r="Y7" i="19"/>
  <c r="Z7" i="19"/>
  <c r="AA7" i="19"/>
  <c r="AB7" i="19"/>
  <c r="AC7" i="19"/>
  <c r="C53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U42" i="18"/>
  <c r="T42" i="18"/>
  <c r="S42" i="18"/>
  <c r="S50" i="18"/>
  <c r="R42" i="18"/>
  <c r="Q42" i="18"/>
  <c r="Q50" i="18"/>
  <c r="P42" i="18"/>
  <c r="O42" i="18"/>
  <c r="O50" i="18"/>
  <c r="N42" i="18"/>
  <c r="M42" i="18"/>
  <c r="M50" i="18"/>
  <c r="L42" i="18"/>
  <c r="K42" i="18"/>
  <c r="K50" i="18"/>
  <c r="J42" i="18"/>
  <c r="I42" i="18"/>
  <c r="I50" i="18"/>
  <c r="H42" i="18"/>
  <c r="G42" i="18"/>
  <c r="G50" i="18"/>
  <c r="F42" i="18"/>
  <c r="E42" i="18"/>
  <c r="E50" i="18"/>
  <c r="D42" i="18"/>
  <c r="C42" i="18"/>
  <c r="C50" i="18"/>
  <c r="T40" i="18"/>
  <c r="T49" i="18"/>
  <c r="S40" i="18"/>
  <c r="R40" i="18"/>
  <c r="R49" i="18"/>
  <c r="Q40" i="18"/>
  <c r="P40" i="18"/>
  <c r="P49" i="18"/>
  <c r="O40" i="18"/>
  <c r="N40" i="18"/>
  <c r="N49" i="18"/>
  <c r="M40" i="18"/>
  <c r="L40" i="18"/>
  <c r="L49" i="18"/>
  <c r="K40" i="18"/>
  <c r="J40" i="18"/>
  <c r="J49" i="18"/>
  <c r="I40" i="18"/>
  <c r="H40" i="18"/>
  <c r="H49" i="18"/>
  <c r="G40" i="18"/>
  <c r="F40" i="18"/>
  <c r="F49" i="18"/>
  <c r="E40" i="18"/>
  <c r="D40" i="18"/>
  <c r="D49" i="18"/>
  <c r="C35" i="18"/>
  <c r="C32" i="18"/>
  <c r="C29" i="18"/>
  <c r="C24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Q15" i="18"/>
  <c r="R15" i="18"/>
  <c r="S15" i="18"/>
  <c r="T15" i="18"/>
  <c r="U15" i="18"/>
  <c r="V15" i="18"/>
  <c r="W15" i="18"/>
  <c r="X15" i="18"/>
  <c r="Y15" i="18"/>
  <c r="Z15" i="18"/>
  <c r="AA15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Q14" i="18"/>
  <c r="R14" i="18"/>
  <c r="S14" i="18"/>
  <c r="T14" i="18"/>
  <c r="U14" i="18"/>
  <c r="V14" i="18"/>
  <c r="W14" i="18"/>
  <c r="X14" i="18"/>
  <c r="Y14" i="18"/>
  <c r="Z14" i="18"/>
  <c r="AA14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U7" i="18"/>
  <c r="V7" i="18"/>
  <c r="W7" i="18"/>
  <c r="X7" i="18"/>
  <c r="Y7" i="18"/>
  <c r="Z7" i="18"/>
  <c r="AA7" i="18"/>
  <c r="AB7" i="18"/>
  <c r="AC7" i="18"/>
  <c r="C53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U42" i="17"/>
  <c r="T42" i="17"/>
  <c r="T50" i="17"/>
  <c r="S42" i="17"/>
  <c r="R42" i="17"/>
  <c r="R50" i="17"/>
  <c r="Q42" i="17"/>
  <c r="P42" i="17"/>
  <c r="P50" i="17"/>
  <c r="O42" i="17"/>
  <c r="N42" i="17"/>
  <c r="N50" i="17"/>
  <c r="M42" i="17"/>
  <c r="L42" i="17"/>
  <c r="L50" i="17"/>
  <c r="K42" i="17"/>
  <c r="J42" i="17"/>
  <c r="J50" i="17"/>
  <c r="I42" i="17"/>
  <c r="H42" i="17"/>
  <c r="H50" i="17"/>
  <c r="G42" i="17"/>
  <c r="F42" i="17"/>
  <c r="F50" i="17"/>
  <c r="E42" i="17"/>
  <c r="D42" i="17"/>
  <c r="D50" i="17"/>
  <c r="C42" i="17"/>
  <c r="T40" i="17"/>
  <c r="T49" i="17"/>
  <c r="S40" i="17"/>
  <c r="R40" i="17"/>
  <c r="R49" i="17"/>
  <c r="Q40" i="17"/>
  <c r="P40" i="17"/>
  <c r="P49" i="17"/>
  <c r="O40" i="17"/>
  <c r="N40" i="17"/>
  <c r="N49" i="17"/>
  <c r="M40" i="17"/>
  <c r="L40" i="17"/>
  <c r="L49" i="17"/>
  <c r="K40" i="17"/>
  <c r="J40" i="17"/>
  <c r="J49" i="17"/>
  <c r="I40" i="17"/>
  <c r="H40" i="17"/>
  <c r="H49" i="17"/>
  <c r="G40" i="17"/>
  <c r="F40" i="17"/>
  <c r="F49" i="17"/>
  <c r="E40" i="17"/>
  <c r="D40" i="17"/>
  <c r="D49" i="17"/>
  <c r="C35" i="17"/>
  <c r="C32" i="17"/>
  <c r="C29" i="17"/>
  <c r="C2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C53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G47" i="16"/>
  <c r="F47" i="16"/>
  <c r="E47" i="16"/>
  <c r="D47" i="16"/>
  <c r="C47" i="16"/>
  <c r="U45" i="16"/>
  <c r="T45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U42" i="16"/>
  <c r="T42" i="16"/>
  <c r="S42" i="16"/>
  <c r="S50" i="16"/>
  <c r="R42" i="16"/>
  <c r="Q42" i="16"/>
  <c r="Q50" i="16"/>
  <c r="P42" i="16"/>
  <c r="O42" i="16"/>
  <c r="O50" i="16"/>
  <c r="N42" i="16"/>
  <c r="M42" i="16"/>
  <c r="M50" i="16"/>
  <c r="L42" i="16"/>
  <c r="K42" i="16"/>
  <c r="K50" i="16"/>
  <c r="J42" i="16"/>
  <c r="I42" i="16"/>
  <c r="I50" i="16"/>
  <c r="H42" i="16"/>
  <c r="G42" i="16"/>
  <c r="G50" i="16"/>
  <c r="F42" i="16"/>
  <c r="E42" i="16"/>
  <c r="E50" i="16"/>
  <c r="D42" i="16"/>
  <c r="C42" i="16"/>
  <c r="C50" i="16"/>
  <c r="T40" i="16"/>
  <c r="T49" i="16"/>
  <c r="S40" i="16"/>
  <c r="R40" i="16"/>
  <c r="R49" i="16"/>
  <c r="Q40" i="16"/>
  <c r="P40" i="16"/>
  <c r="P49" i="16"/>
  <c r="O40" i="16"/>
  <c r="N40" i="16"/>
  <c r="N49" i="16"/>
  <c r="M40" i="16"/>
  <c r="L40" i="16"/>
  <c r="L49" i="16"/>
  <c r="K40" i="16"/>
  <c r="J40" i="16"/>
  <c r="J49" i="16"/>
  <c r="I40" i="16"/>
  <c r="H40" i="16"/>
  <c r="H49" i="16"/>
  <c r="G40" i="16"/>
  <c r="F40" i="16"/>
  <c r="F49" i="16"/>
  <c r="E40" i="16"/>
  <c r="D40" i="16"/>
  <c r="D49" i="16"/>
  <c r="C35" i="16"/>
  <c r="C32" i="16"/>
  <c r="C29" i="16"/>
  <c r="C24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AA15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AA14" i="16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R7" i="16"/>
  <c r="S7" i="16"/>
  <c r="T7" i="16"/>
  <c r="U7" i="16"/>
  <c r="V7" i="16"/>
  <c r="W7" i="16"/>
  <c r="X7" i="16"/>
  <c r="Y7" i="16"/>
  <c r="Z7" i="16"/>
  <c r="AA7" i="16"/>
  <c r="AB7" i="16"/>
  <c r="AC7" i="16"/>
  <c r="D7" i="16"/>
  <c r="C53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U42" i="15"/>
  <c r="T42" i="15"/>
  <c r="S42" i="15"/>
  <c r="S50" i="15"/>
  <c r="R42" i="15"/>
  <c r="Q42" i="15"/>
  <c r="Q50" i="15"/>
  <c r="P42" i="15"/>
  <c r="O42" i="15"/>
  <c r="O50" i="15"/>
  <c r="N42" i="15"/>
  <c r="M42" i="15"/>
  <c r="M50" i="15"/>
  <c r="L42" i="15"/>
  <c r="K42" i="15"/>
  <c r="K50" i="15"/>
  <c r="J42" i="15"/>
  <c r="I42" i="15"/>
  <c r="I50" i="15"/>
  <c r="H42" i="15"/>
  <c r="G42" i="15"/>
  <c r="G50" i="15"/>
  <c r="F42" i="15"/>
  <c r="E42" i="15"/>
  <c r="E50" i="15"/>
  <c r="D42" i="15"/>
  <c r="C42" i="15"/>
  <c r="C50" i="15"/>
  <c r="T40" i="15"/>
  <c r="T49" i="15"/>
  <c r="S40" i="15"/>
  <c r="R40" i="15"/>
  <c r="R49" i="15"/>
  <c r="Q40" i="15"/>
  <c r="P40" i="15"/>
  <c r="P49" i="15"/>
  <c r="O40" i="15"/>
  <c r="N40" i="15"/>
  <c r="N49" i="15"/>
  <c r="M40" i="15"/>
  <c r="L40" i="15"/>
  <c r="L49" i="15"/>
  <c r="K40" i="15"/>
  <c r="J40" i="15"/>
  <c r="J49" i="15"/>
  <c r="I40" i="15"/>
  <c r="H40" i="15"/>
  <c r="H49" i="15"/>
  <c r="G40" i="15"/>
  <c r="F40" i="15"/>
  <c r="F49" i="15"/>
  <c r="E40" i="15"/>
  <c r="D40" i="15"/>
  <c r="D49" i="15"/>
  <c r="C35" i="15"/>
  <c r="C32" i="15"/>
  <c r="C29" i="15"/>
  <c r="C24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T14" i="15"/>
  <c r="U14" i="15"/>
  <c r="V14" i="15"/>
  <c r="W14" i="15"/>
  <c r="X14" i="15"/>
  <c r="Y14" i="15"/>
  <c r="Z14" i="15"/>
  <c r="AA14" i="15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Z7" i="15"/>
  <c r="AA7" i="15"/>
  <c r="AB7" i="15"/>
  <c r="AC7" i="15"/>
  <c r="C53" i="13"/>
  <c r="C35" i="13"/>
  <c r="C53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U42" i="14"/>
  <c r="T42" i="14"/>
  <c r="S42" i="14"/>
  <c r="S50" i="14"/>
  <c r="R42" i="14"/>
  <c r="Q42" i="14"/>
  <c r="Q50" i="14"/>
  <c r="P42" i="14"/>
  <c r="O42" i="14"/>
  <c r="O50" i="14"/>
  <c r="N42" i="14"/>
  <c r="M42" i="14"/>
  <c r="M50" i="14"/>
  <c r="L42" i="14"/>
  <c r="K42" i="14"/>
  <c r="K50" i="14"/>
  <c r="J42" i="14"/>
  <c r="I42" i="14"/>
  <c r="I50" i="14"/>
  <c r="H42" i="14"/>
  <c r="G42" i="14"/>
  <c r="G50" i="14"/>
  <c r="F42" i="14"/>
  <c r="E42" i="14"/>
  <c r="E50" i="14"/>
  <c r="D42" i="14"/>
  <c r="C42" i="14"/>
  <c r="C50" i="14"/>
  <c r="T40" i="14"/>
  <c r="T49" i="14"/>
  <c r="S40" i="14"/>
  <c r="R40" i="14"/>
  <c r="R49" i="14"/>
  <c r="Q40" i="14"/>
  <c r="P40" i="14"/>
  <c r="P49" i="14"/>
  <c r="O40" i="14"/>
  <c r="N40" i="14"/>
  <c r="N49" i="14"/>
  <c r="M40" i="14"/>
  <c r="L40" i="14"/>
  <c r="L49" i="14"/>
  <c r="K40" i="14"/>
  <c r="J40" i="14"/>
  <c r="J49" i="14"/>
  <c r="I40" i="14"/>
  <c r="H40" i="14"/>
  <c r="H49" i="14"/>
  <c r="G40" i="14"/>
  <c r="F40" i="14"/>
  <c r="F49" i="14"/>
  <c r="E40" i="14"/>
  <c r="D40" i="14"/>
  <c r="D49" i="14"/>
  <c r="C35" i="14"/>
  <c r="C32" i="14"/>
  <c r="C29" i="14"/>
  <c r="C24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Z15" i="14"/>
  <c r="AA15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D7" i="14"/>
  <c r="E7" i="14"/>
  <c r="F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U7" i="14"/>
  <c r="V7" i="14"/>
  <c r="W7" i="14"/>
  <c r="X7" i="14"/>
  <c r="Y7" i="14"/>
  <c r="Z7" i="14"/>
  <c r="AA7" i="14"/>
  <c r="AB7" i="14"/>
  <c r="AC7" i="14"/>
  <c r="BI41" i="24"/>
  <c r="EE41" i="24"/>
  <c r="EF6" i="24"/>
  <c r="BJ6" i="24"/>
  <c r="EG6" i="24"/>
  <c r="AP6" i="24"/>
  <c r="EE52" i="24"/>
  <c r="BI52" i="24"/>
  <c r="EE25" i="24"/>
  <c r="BI25" i="24"/>
  <c r="EE11" i="24"/>
  <c r="BI11" i="24"/>
  <c r="EE30" i="24"/>
  <c r="BI30" i="24"/>
  <c r="AC12" i="24"/>
  <c r="ED62" i="24"/>
  <c r="BH62" i="24"/>
  <c r="AD56" i="24"/>
  <c r="AC27" i="24"/>
  <c r="AD21" i="24"/>
  <c r="AC55" i="24"/>
  <c r="AD35" i="24"/>
  <c r="EF55" i="24"/>
  <c r="BJ55" i="24"/>
  <c r="ED50" i="24"/>
  <c r="BH50" i="24"/>
  <c r="ED17" i="24"/>
  <c r="BH17" i="24"/>
  <c r="AD47" i="24"/>
  <c r="EE16" i="24"/>
  <c r="BI16" i="24"/>
  <c r="AC51" i="24"/>
  <c r="AD40" i="24"/>
  <c r="AC37" i="24"/>
  <c r="AC17" i="24"/>
  <c r="EE10" i="24"/>
  <c r="BI10" i="24"/>
  <c r="ED42" i="24"/>
  <c r="BH42" i="24"/>
  <c r="AD57" i="24"/>
  <c r="AD60" i="24"/>
  <c r="AD26" i="24"/>
  <c r="AD42" i="24"/>
  <c r="EE26" i="24"/>
  <c r="BI26" i="24"/>
  <c r="AD5" i="24"/>
  <c r="EE61" i="24"/>
  <c r="BI61" i="24"/>
  <c r="DM6" i="24"/>
  <c r="EF22" i="24"/>
  <c r="BJ22" i="24"/>
  <c r="EG22" i="24"/>
  <c r="ED37" i="24"/>
  <c r="BH37" i="24"/>
  <c r="ED60" i="24"/>
  <c r="BH60" i="24"/>
  <c r="EE32" i="24"/>
  <c r="BI32" i="24"/>
  <c r="EE21" i="24"/>
  <c r="BI21" i="24"/>
  <c r="EE35" i="24"/>
  <c r="BI35" i="24"/>
  <c r="EE57" i="24"/>
  <c r="BI57" i="24"/>
  <c r="ED15" i="24"/>
  <c r="BH15" i="24"/>
  <c r="EE27" i="24"/>
  <c r="BI27" i="24"/>
  <c r="EF31" i="24"/>
  <c r="DM31" i="24"/>
  <c r="BJ31" i="24"/>
  <c r="EG31" i="24"/>
  <c r="AD52" i="24"/>
  <c r="AD32" i="24"/>
  <c r="AD36" i="24"/>
  <c r="ED45" i="24"/>
  <c r="BH45" i="24"/>
  <c r="AC45" i="24"/>
  <c r="ED12" i="24"/>
  <c r="BH12" i="24"/>
  <c r="ED20" i="24"/>
  <c r="BH20" i="24"/>
  <c r="ED56" i="24"/>
  <c r="BH56" i="24"/>
  <c r="EE47" i="24"/>
  <c r="BI47" i="24"/>
  <c r="EE51" i="24"/>
  <c r="BI51" i="24"/>
  <c r="ED5" i="24"/>
  <c r="BH5" i="24"/>
  <c r="AC62" i="24"/>
  <c r="ED36" i="24"/>
  <c r="BH36" i="24"/>
  <c r="EE40" i="24"/>
  <c r="BI40" i="24"/>
  <c r="ED46" i="24"/>
  <c r="BH46" i="24"/>
  <c r="ED7" i="24"/>
  <c r="BH7" i="24"/>
  <c r="AD31" i="24"/>
  <c r="AC41" i="24"/>
  <c r="AC16" i="24"/>
  <c r="D50" i="14"/>
  <c r="F50" i="14"/>
  <c r="F33" i="14"/>
  <c r="H50" i="14"/>
  <c r="J50" i="14"/>
  <c r="J33" i="14"/>
  <c r="L50" i="14"/>
  <c r="N50" i="14"/>
  <c r="N33" i="14"/>
  <c r="P50" i="14"/>
  <c r="R50" i="14"/>
  <c r="R33" i="14"/>
  <c r="T50" i="14"/>
  <c r="E48" i="14"/>
  <c r="G48" i="14"/>
  <c r="I48" i="14"/>
  <c r="O48" i="14"/>
  <c r="Q48" i="14"/>
  <c r="D50" i="15"/>
  <c r="F50" i="15"/>
  <c r="F51" i="15"/>
  <c r="H50" i="15"/>
  <c r="J50" i="15"/>
  <c r="J51" i="15"/>
  <c r="L50" i="15"/>
  <c r="N50" i="15"/>
  <c r="N51" i="15"/>
  <c r="P50" i="15"/>
  <c r="R50" i="15"/>
  <c r="R51" i="15"/>
  <c r="T50" i="15"/>
  <c r="D50" i="16"/>
  <c r="D51" i="16"/>
  <c r="F50" i="16"/>
  <c r="H50" i="16"/>
  <c r="H51" i="16"/>
  <c r="J50" i="16"/>
  <c r="L50" i="16"/>
  <c r="L51" i="16"/>
  <c r="N50" i="16"/>
  <c r="P50" i="16"/>
  <c r="P51" i="16"/>
  <c r="R50" i="16"/>
  <c r="T50" i="16"/>
  <c r="T51" i="16"/>
  <c r="C50" i="17"/>
  <c r="E50" i="17"/>
  <c r="E33" i="17"/>
  <c r="G50" i="17"/>
  <c r="I50" i="17"/>
  <c r="I33" i="17"/>
  <c r="K50" i="17"/>
  <c r="M50" i="17"/>
  <c r="M33" i="17"/>
  <c r="O50" i="17"/>
  <c r="Q50" i="17"/>
  <c r="Q33" i="17"/>
  <c r="S50" i="17"/>
  <c r="D50" i="18"/>
  <c r="D33" i="18"/>
  <c r="F50" i="18"/>
  <c r="H50" i="18"/>
  <c r="H33" i="18"/>
  <c r="J50" i="18"/>
  <c r="L50" i="18"/>
  <c r="L33" i="18"/>
  <c r="N50" i="18"/>
  <c r="P50" i="18"/>
  <c r="P33" i="18"/>
  <c r="R50" i="18"/>
  <c r="T50" i="18"/>
  <c r="T33" i="18"/>
  <c r="U33" i="18"/>
  <c r="V33" i="18"/>
  <c r="W33" i="18"/>
  <c r="X33" i="18"/>
  <c r="Y33" i="18"/>
  <c r="Z33" i="18"/>
  <c r="C50" i="19"/>
  <c r="E50" i="19"/>
  <c r="F51" i="19"/>
  <c r="G50" i="19"/>
  <c r="I50" i="19"/>
  <c r="J51" i="19"/>
  <c r="K50" i="19"/>
  <c r="M50" i="19"/>
  <c r="N51" i="19"/>
  <c r="O50" i="19"/>
  <c r="Q50" i="19"/>
  <c r="R51" i="19"/>
  <c r="S50" i="19"/>
  <c r="C51" i="20"/>
  <c r="E51" i="20"/>
  <c r="G51" i="20"/>
  <c r="I51" i="20"/>
  <c r="K51" i="20"/>
  <c r="M51" i="20"/>
  <c r="O51" i="20"/>
  <c r="Q51" i="20"/>
  <c r="S51" i="20"/>
  <c r="C36" i="17"/>
  <c r="C36" i="16"/>
  <c r="C37" i="18"/>
  <c r="D37" i="18"/>
  <c r="E37" i="18"/>
  <c r="F37" i="18"/>
  <c r="G37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AA37" i="18"/>
  <c r="E41" i="18"/>
  <c r="C37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E41" i="14"/>
  <c r="G41" i="14"/>
  <c r="I41" i="14"/>
  <c r="K41" i="14"/>
  <c r="M41" i="14"/>
  <c r="O41" i="14"/>
  <c r="Q41" i="14"/>
  <c r="S41" i="14"/>
  <c r="K48" i="14"/>
  <c r="M48" i="14"/>
  <c r="U48" i="14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X37" i="16"/>
  <c r="Y37" i="16"/>
  <c r="Z37" i="16"/>
  <c r="AA37" i="16"/>
  <c r="E41" i="16"/>
  <c r="G41" i="16"/>
  <c r="I41" i="16"/>
  <c r="M41" i="16"/>
  <c r="O41" i="16"/>
  <c r="Q41" i="16"/>
  <c r="S41" i="16"/>
  <c r="C36" i="15"/>
  <c r="C36" i="19"/>
  <c r="C38" i="20"/>
  <c r="D38" i="20"/>
  <c r="E38" i="20"/>
  <c r="F38" i="20"/>
  <c r="G38" i="20"/>
  <c r="H38" i="20"/>
  <c r="I38" i="20"/>
  <c r="J38" i="20"/>
  <c r="K38" i="20"/>
  <c r="L38" i="20"/>
  <c r="M38" i="20"/>
  <c r="N38" i="20"/>
  <c r="O38" i="20"/>
  <c r="P38" i="20"/>
  <c r="Q38" i="20"/>
  <c r="R38" i="20"/>
  <c r="S38" i="20"/>
  <c r="T38" i="20"/>
  <c r="U38" i="20"/>
  <c r="V38" i="20"/>
  <c r="W38" i="20"/>
  <c r="X38" i="20"/>
  <c r="Y38" i="20"/>
  <c r="Z38" i="20"/>
  <c r="AA38" i="20"/>
  <c r="C37" i="20"/>
  <c r="C36" i="14"/>
  <c r="E48" i="15"/>
  <c r="G48" i="15"/>
  <c r="I48" i="15"/>
  <c r="K48" i="15"/>
  <c r="M48" i="15"/>
  <c r="O48" i="15"/>
  <c r="S48" i="15"/>
  <c r="U48" i="15"/>
  <c r="G41" i="18"/>
  <c r="I41" i="18"/>
  <c r="K41" i="18"/>
  <c r="M41" i="18"/>
  <c r="O41" i="18"/>
  <c r="Q41" i="18"/>
  <c r="S41" i="18"/>
  <c r="G48" i="18"/>
  <c r="I48" i="18"/>
  <c r="K48" i="18"/>
  <c r="M48" i="18"/>
  <c r="Q48" i="18"/>
  <c r="S48" i="18"/>
  <c r="U48" i="18"/>
  <c r="E41" i="19"/>
  <c r="G41" i="19"/>
  <c r="I41" i="19"/>
  <c r="K41" i="19"/>
  <c r="M41" i="19"/>
  <c r="O41" i="19"/>
  <c r="Q41" i="19"/>
  <c r="S41" i="19"/>
  <c r="E48" i="19"/>
  <c r="G48" i="19"/>
  <c r="I48" i="19"/>
  <c r="K48" i="19"/>
  <c r="K41" i="16"/>
  <c r="E48" i="16"/>
  <c r="G48" i="16"/>
  <c r="I48" i="16"/>
  <c r="K48" i="16"/>
  <c r="M48" i="16"/>
  <c r="O48" i="16"/>
  <c r="S48" i="16"/>
  <c r="U48" i="16"/>
  <c r="R46" i="17"/>
  <c r="T46" i="17"/>
  <c r="E48" i="17"/>
  <c r="G48" i="17"/>
  <c r="I48" i="17"/>
  <c r="K48" i="17"/>
  <c r="M48" i="17"/>
  <c r="Q48" i="17"/>
  <c r="S48" i="17"/>
  <c r="U48" i="17"/>
  <c r="E42" i="20"/>
  <c r="G42" i="20"/>
  <c r="I42" i="20"/>
  <c r="K42" i="20"/>
  <c r="M42" i="20"/>
  <c r="O42" i="20"/>
  <c r="Q42" i="20"/>
  <c r="S42" i="20"/>
  <c r="D51" i="20"/>
  <c r="F51" i="20"/>
  <c r="H51" i="20"/>
  <c r="J51" i="20"/>
  <c r="L51" i="20"/>
  <c r="N51" i="20"/>
  <c r="P51" i="20"/>
  <c r="Q52" i="20"/>
  <c r="R51" i="20"/>
  <c r="T51" i="20"/>
  <c r="G49" i="20"/>
  <c r="I49" i="20"/>
  <c r="K49" i="20"/>
  <c r="M49" i="20"/>
  <c r="O49" i="20"/>
  <c r="S49" i="20"/>
  <c r="U49" i="20"/>
  <c r="C37" i="19"/>
  <c r="D37" i="19"/>
  <c r="E37" i="19"/>
  <c r="F37" i="19"/>
  <c r="G37" i="19"/>
  <c r="H37" i="19"/>
  <c r="I37" i="19"/>
  <c r="J37" i="19"/>
  <c r="K37" i="19"/>
  <c r="L37" i="19"/>
  <c r="M37" i="19"/>
  <c r="N37" i="19"/>
  <c r="O37" i="19"/>
  <c r="P37" i="19"/>
  <c r="Q37" i="19"/>
  <c r="R37" i="19"/>
  <c r="S37" i="19"/>
  <c r="T37" i="19"/>
  <c r="U37" i="19"/>
  <c r="V37" i="19"/>
  <c r="W37" i="19"/>
  <c r="X37" i="19"/>
  <c r="Y37" i="19"/>
  <c r="Z37" i="19"/>
  <c r="AA37" i="19"/>
  <c r="C8" i="20"/>
  <c r="F47" i="20"/>
  <c r="H47" i="20"/>
  <c r="J47" i="20"/>
  <c r="L47" i="20"/>
  <c r="N47" i="20"/>
  <c r="P47" i="20"/>
  <c r="R47" i="20"/>
  <c r="T47" i="20"/>
  <c r="E49" i="20"/>
  <c r="Q49" i="20"/>
  <c r="U44" i="20"/>
  <c r="E47" i="20"/>
  <c r="G47" i="20"/>
  <c r="I47" i="20"/>
  <c r="K47" i="20"/>
  <c r="M47" i="20"/>
  <c r="O47" i="20"/>
  <c r="Q47" i="20"/>
  <c r="S47" i="20"/>
  <c r="U47" i="20"/>
  <c r="D49" i="20"/>
  <c r="F49" i="20"/>
  <c r="H49" i="20"/>
  <c r="J49" i="20"/>
  <c r="L49" i="20"/>
  <c r="N49" i="20"/>
  <c r="P49" i="20"/>
  <c r="R49" i="20"/>
  <c r="T49" i="20"/>
  <c r="F42" i="20"/>
  <c r="H42" i="20"/>
  <c r="J42" i="20"/>
  <c r="L42" i="20"/>
  <c r="N42" i="20"/>
  <c r="P42" i="20"/>
  <c r="R42" i="20"/>
  <c r="T42" i="20"/>
  <c r="U42" i="20"/>
  <c r="E44" i="20"/>
  <c r="G44" i="20"/>
  <c r="I44" i="20"/>
  <c r="K44" i="20"/>
  <c r="M44" i="20"/>
  <c r="O44" i="20"/>
  <c r="Q44" i="20"/>
  <c r="S44" i="20"/>
  <c r="E50" i="20"/>
  <c r="G50" i="20"/>
  <c r="I50" i="20"/>
  <c r="K50" i="20"/>
  <c r="M50" i="20"/>
  <c r="O50" i="20"/>
  <c r="Q50" i="20"/>
  <c r="S50" i="20"/>
  <c r="D44" i="20"/>
  <c r="D5" i="20"/>
  <c r="F44" i="20"/>
  <c r="H44" i="20"/>
  <c r="J44" i="20"/>
  <c r="L44" i="20"/>
  <c r="N44" i="20"/>
  <c r="P44" i="20"/>
  <c r="R44" i="20"/>
  <c r="T44" i="20"/>
  <c r="M48" i="19"/>
  <c r="F46" i="19"/>
  <c r="H46" i="19"/>
  <c r="J46" i="19"/>
  <c r="L46" i="19"/>
  <c r="N46" i="19"/>
  <c r="P46" i="19"/>
  <c r="R46" i="19"/>
  <c r="T46" i="19"/>
  <c r="O48" i="19"/>
  <c r="Q48" i="19"/>
  <c r="S48" i="19"/>
  <c r="U48" i="19"/>
  <c r="U43" i="19"/>
  <c r="U4" i="19"/>
  <c r="V4" i="19"/>
  <c r="W4" i="19"/>
  <c r="X4" i="19"/>
  <c r="Y4" i="19"/>
  <c r="Z4" i="19"/>
  <c r="E46" i="19"/>
  <c r="G46" i="19"/>
  <c r="I46" i="19"/>
  <c r="K46" i="19"/>
  <c r="M46" i="19"/>
  <c r="O46" i="19"/>
  <c r="Q46" i="19"/>
  <c r="S46" i="19"/>
  <c r="U46" i="19"/>
  <c r="D48" i="19"/>
  <c r="F48" i="19"/>
  <c r="H48" i="19"/>
  <c r="J48" i="19"/>
  <c r="L48" i="19"/>
  <c r="N48" i="19"/>
  <c r="P48" i="19"/>
  <c r="R48" i="19"/>
  <c r="T48" i="19"/>
  <c r="D51" i="19"/>
  <c r="D33" i="19"/>
  <c r="F33" i="19"/>
  <c r="H51" i="19"/>
  <c r="H33" i="19"/>
  <c r="J33" i="19"/>
  <c r="L51" i="19"/>
  <c r="L33" i="19"/>
  <c r="N33" i="19"/>
  <c r="P51" i="19"/>
  <c r="P33" i="19"/>
  <c r="R33" i="19"/>
  <c r="T51" i="19"/>
  <c r="T33" i="19"/>
  <c r="U33" i="19"/>
  <c r="V33" i="19"/>
  <c r="W33" i="19"/>
  <c r="X33" i="19"/>
  <c r="Y33" i="19"/>
  <c r="Z33" i="19"/>
  <c r="E33" i="19"/>
  <c r="G51" i="19"/>
  <c r="G33" i="19"/>
  <c r="I33" i="19"/>
  <c r="K51" i="19"/>
  <c r="K33" i="19"/>
  <c r="M33" i="19"/>
  <c r="O51" i="19"/>
  <c r="O33" i="19"/>
  <c r="Q33" i="19"/>
  <c r="S51" i="19"/>
  <c r="S33" i="19"/>
  <c r="F41" i="19"/>
  <c r="H41" i="19"/>
  <c r="J41" i="19"/>
  <c r="L41" i="19"/>
  <c r="N41" i="19"/>
  <c r="P41" i="19"/>
  <c r="R41" i="19"/>
  <c r="T41" i="19"/>
  <c r="U41" i="19"/>
  <c r="E43" i="19"/>
  <c r="E4" i="19"/>
  <c r="G43" i="19"/>
  <c r="G4" i="19"/>
  <c r="I43" i="19"/>
  <c r="I4" i="19"/>
  <c r="K43" i="19"/>
  <c r="K4" i="19"/>
  <c r="M43" i="19"/>
  <c r="M4" i="19"/>
  <c r="O43" i="19"/>
  <c r="O4" i="19"/>
  <c r="Q43" i="19"/>
  <c r="Q4" i="19"/>
  <c r="S43" i="19"/>
  <c r="S4" i="19"/>
  <c r="E49" i="19"/>
  <c r="G49" i="19"/>
  <c r="I49" i="19"/>
  <c r="K49" i="19"/>
  <c r="M49" i="19"/>
  <c r="O49" i="19"/>
  <c r="Q49" i="19"/>
  <c r="S49" i="19"/>
  <c r="D43" i="19"/>
  <c r="D4" i="19"/>
  <c r="F43" i="19"/>
  <c r="F4" i="19"/>
  <c r="H43" i="19"/>
  <c r="H4" i="19"/>
  <c r="J43" i="19"/>
  <c r="J4" i="19"/>
  <c r="L43" i="19"/>
  <c r="L4" i="19"/>
  <c r="N43" i="19"/>
  <c r="N4" i="19"/>
  <c r="P43" i="19"/>
  <c r="P4" i="19"/>
  <c r="R43" i="19"/>
  <c r="R4" i="19"/>
  <c r="T43" i="19"/>
  <c r="T4" i="19"/>
  <c r="C36" i="18"/>
  <c r="F46" i="18"/>
  <c r="H46" i="18"/>
  <c r="J46" i="18"/>
  <c r="L46" i="18"/>
  <c r="N46" i="18"/>
  <c r="P46" i="18"/>
  <c r="R46" i="18"/>
  <c r="T46" i="18"/>
  <c r="E48" i="18"/>
  <c r="O48" i="18"/>
  <c r="U43" i="18"/>
  <c r="U4" i="18"/>
  <c r="V4" i="18"/>
  <c r="W4" i="18"/>
  <c r="X4" i="18"/>
  <c r="Y4" i="18"/>
  <c r="Z4" i="18"/>
  <c r="E46" i="18"/>
  <c r="G46" i="18"/>
  <c r="I46" i="18"/>
  <c r="K46" i="18"/>
  <c r="M46" i="18"/>
  <c r="O46" i="18"/>
  <c r="Q46" i="18"/>
  <c r="S46" i="18"/>
  <c r="U46" i="18"/>
  <c r="D48" i="18"/>
  <c r="F48" i="18"/>
  <c r="H48" i="18"/>
  <c r="J48" i="18"/>
  <c r="L48" i="18"/>
  <c r="N48" i="18"/>
  <c r="P48" i="18"/>
  <c r="R48" i="18"/>
  <c r="T48" i="18"/>
  <c r="D51" i="18"/>
  <c r="F51" i="18"/>
  <c r="F33" i="18"/>
  <c r="H51" i="18"/>
  <c r="J51" i="18"/>
  <c r="J33" i="18"/>
  <c r="L51" i="18"/>
  <c r="N51" i="18"/>
  <c r="N33" i="18"/>
  <c r="P51" i="18"/>
  <c r="R51" i="18"/>
  <c r="R33" i="18"/>
  <c r="T51" i="18"/>
  <c r="E51" i="18"/>
  <c r="E33" i="18"/>
  <c r="G51" i="18"/>
  <c r="G33" i="18"/>
  <c r="I51" i="18"/>
  <c r="I33" i="18"/>
  <c r="K51" i="18"/>
  <c r="K33" i="18"/>
  <c r="M51" i="18"/>
  <c r="M33" i="18"/>
  <c r="O51" i="18"/>
  <c r="O33" i="18"/>
  <c r="Q51" i="18"/>
  <c r="Q33" i="18"/>
  <c r="S51" i="18"/>
  <c r="S33" i="18"/>
  <c r="F41" i="18"/>
  <c r="H41" i="18"/>
  <c r="J41" i="18"/>
  <c r="L41" i="18"/>
  <c r="N41" i="18"/>
  <c r="P41" i="18"/>
  <c r="R41" i="18"/>
  <c r="T41" i="18"/>
  <c r="U41" i="18"/>
  <c r="E43" i="18"/>
  <c r="E4" i="18"/>
  <c r="G43" i="18"/>
  <c r="G4" i="18"/>
  <c r="I43" i="18"/>
  <c r="I4" i="18"/>
  <c r="K43" i="18"/>
  <c r="K4" i="18"/>
  <c r="M43" i="18"/>
  <c r="M4" i="18"/>
  <c r="O43" i="18"/>
  <c r="O4" i="18"/>
  <c r="Q43" i="18"/>
  <c r="Q4" i="18"/>
  <c r="S43" i="18"/>
  <c r="S4" i="18"/>
  <c r="E49" i="18"/>
  <c r="G49" i="18"/>
  <c r="I49" i="18"/>
  <c r="K49" i="18"/>
  <c r="M49" i="18"/>
  <c r="O49" i="18"/>
  <c r="Q49" i="18"/>
  <c r="S49" i="18"/>
  <c r="D43" i="18"/>
  <c r="D4" i="18"/>
  <c r="F43" i="18"/>
  <c r="F4" i="18"/>
  <c r="H43" i="18"/>
  <c r="H4" i="18"/>
  <c r="J43" i="18"/>
  <c r="J4" i="18"/>
  <c r="L43" i="18"/>
  <c r="L4" i="18"/>
  <c r="N43" i="18"/>
  <c r="N4" i="18"/>
  <c r="P43" i="18"/>
  <c r="P4" i="18"/>
  <c r="R43" i="18"/>
  <c r="R4" i="18"/>
  <c r="T43" i="18"/>
  <c r="T4" i="18"/>
  <c r="U43" i="17"/>
  <c r="U4" i="17"/>
  <c r="V4" i="17"/>
  <c r="W4" i="17"/>
  <c r="X4" i="17"/>
  <c r="Y4" i="17"/>
  <c r="Z4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E41" i="17"/>
  <c r="G41" i="17"/>
  <c r="I41" i="17"/>
  <c r="K41" i="17"/>
  <c r="M41" i="17"/>
  <c r="O41" i="17"/>
  <c r="Q41" i="17"/>
  <c r="S41" i="17"/>
  <c r="F46" i="17"/>
  <c r="H46" i="17"/>
  <c r="J46" i="17"/>
  <c r="L46" i="17"/>
  <c r="N46" i="17"/>
  <c r="P46" i="17"/>
  <c r="O48" i="17"/>
  <c r="E46" i="17"/>
  <c r="G46" i="17"/>
  <c r="I46" i="17"/>
  <c r="K46" i="17"/>
  <c r="M46" i="17"/>
  <c r="O46" i="17"/>
  <c r="Q46" i="17"/>
  <c r="S46" i="17"/>
  <c r="U46" i="17"/>
  <c r="D48" i="17"/>
  <c r="F48" i="17"/>
  <c r="H48" i="17"/>
  <c r="J48" i="17"/>
  <c r="L48" i="17"/>
  <c r="N48" i="17"/>
  <c r="P48" i="17"/>
  <c r="R48" i="17"/>
  <c r="T48" i="17"/>
  <c r="D51" i="17"/>
  <c r="D33" i="17"/>
  <c r="F51" i="17"/>
  <c r="F33" i="17"/>
  <c r="H51" i="17"/>
  <c r="H33" i="17"/>
  <c r="J51" i="17"/>
  <c r="J33" i="17"/>
  <c r="L51" i="17"/>
  <c r="L33" i="17"/>
  <c r="N51" i="17"/>
  <c r="N33" i="17"/>
  <c r="P51" i="17"/>
  <c r="P33" i="17"/>
  <c r="R51" i="17"/>
  <c r="R33" i="17"/>
  <c r="T51" i="17"/>
  <c r="T33" i="17"/>
  <c r="U33" i="17"/>
  <c r="V33" i="17"/>
  <c r="W33" i="17"/>
  <c r="X33" i="17"/>
  <c r="Y33" i="17"/>
  <c r="Z33" i="17"/>
  <c r="E51" i="17"/>
  <c r="G51" i="17"/>
  <c r="G33" i="17"/>
  <c r="I51" i="17"/>
  <c r="K51" i="17"/>
  <c r="K33" i="17"/>
  <c r="M51" i="17"/>
  <c r="O51" i="17"/>
  <c r="O33" i="17"/>
  <c r="Q51" i="17"/>
  <c r="S51" i="17"/>
  <c r="S33" i="17"/>
  <c r="F41" i="17"/>
  <c r="H41" i="17"/>
  <c r="J41" i="17"/>
  <c r="L41" i="17"/>
  <c r="N41" i="17"/>
  <c r="P41" i="17"/>
  <c r="R41" i="17"/>
  <c r="T41" i="17"/>
  <c r="U41" i="17"/>
  <c r="E43" i="17"/>
  <c r="E4" i="17"/>
  <c r="G43" i="17"/>
  <c r="G4" i="17"/>
  <c r="I43" i="17"/>
  <c r="I4" i="17"/>
  <c r="K43" i="17"/>
  <c r="K4" i="17"/>
  <c r="M43" i="17"/>
  <c r="M4" i="17"/>
  <c r="O43" i="17"/>
  <c r="O4" i="17"/>
  <c r="Q43" i="17"/>
  <c r="Q4" i="17"/>
  <c r="S43" i="17"/>
  <c r="S4" i="17"/>
  <c r="E49" i="17"/>
  <c r="G49" i="17"/>
  <c r="I49" i="17"/>
  <c r="K49" i="17"/>
  <c r="M49" i="17"/>
  <c r="O49" i="17"/>
  <c r="Q49" i="17"/>
  <c r="S49" i="17"/>
  <c r="D43" i="17"/>
  <c r="D4" i="17"/>
  <c r="F43" i="17"/>
  <c r="F4" i="17"/>
  <c r="H43" i="17"/>
  <c r="H4" i="17"/>
  <c r="J43" i="17"/>
  <c r="J4" i="17"/>
  <c r="L43" i="17"/>
  <c r="L4" i="17"/>
  <c r="N43" i="17"/>
  <c r="N4" i="17"/>
  <c r="P43" i="17"/>
  <c r="P4" i="17"/>
  <c r="R43" i="17"/>
  <c r="R4" i="17"/>
  <c r="T43" i="17"/>
  <c r="T4" i="17"/>
  <c r="F46" i="16"/>
  <c r="H46" i="16"/>
  <c r="J46" i="16"/>
  <c r="L46" i="16"/>
  <c r="N46" i="16"/>
  <c r="P46" i="16"/>
  <c r="R46" i="16"/>
  <c r="T46" i="16"/>
  <c r="Q48" i="16"/>
  <c r="U43" i="16"/>
  <c r="U4" i="16"/>
  <c r="V4" i="16"/>
  <c r="W4" i="16"/>
  <c r="X4" i="16"/>
  <c r="Y4" i="16"/>
  <c r="Z4" i="16"/>
  <c r="E46" i="16"/>
  <c r="G46" i="16"/>
  <c r="I46" i="16"/>
  <c r="K46" i="16"/>
  <c r="M46" i="16"/>
  <c r="O46" i="16"/>
  <c r="Q46" i="16"/>
  <c r="S46" i="16"/>
  <c r="U46" i="16"/>
  <c r="D48" i="16"/>
  <c r="F48" i="16"/>
  <c r="H48" i="16"/>
  <c r="J48" i="16"/>
  <c r="L48" i="16"/>
  <c r="N48" i="16"/>
  <c r="P48" i="16"/>
  <c r="R48" i="16"/>
  <c r="T48" i="16"/>
  <c r="D33" i="16"/>
  <c r="F51" i="16"/>
  <c r="F33" i="16"/>
  <c r="H33" i="16"/>
  <c r="J51" i="16"/>
  <c r="J33" i="16"/>
  <c r="L33" i="16"/>
  <c r="N51" i="16"/>
  <c r="N33" i="16"/>
  <c r="P33" i="16"/>
  <c r="R51" i="16"/>
  <c r="R33" i="16"/>
  <c r="T33" i="16"/>
  <c r="U33" i="16"/>
  <c r="V33" i="16"/>
  <c r="W33" i="16"/>
  <c r="X33" i="16"/>
  <c r="Y33" i="16"/>
  <c r="Z33" i="16"/>
  <c r="E33" i="16"/>
  <c r="G51" i="16"/>
  <c r="G33" i="16"/>
  <c r="I33" i="16"/>
  <c r="K51" i="16"/>
  <c r="K33" i="16"/>
  <c r="M33" i="16"/>
  <c r="O51" i="16"/>
  <c r="O33" i="16"/>
  <c r="Q33" i="16"/>
  <c r="S51" i="16"/>
  <c r="S33" i="16"/>
  <c r="F41" i="16"/>
  <c r="H41" i="16"/>
  <c r="J41" i="16"/>
  <c r="L41" i="16"/>
  <c r="N41" i="16"/>
  <c r="P41" i="16"/>
  <c r="R41" i="16"/>
  <c r="T41" i="16"/>
  <c r="U41" i="16"/>
  <c r="E43" i="16"/>
  <c r="E4" i="16"/>
  <c r="G43" i="16"/>
  <c r="G4" i="16"/>
  <c r="I43" i="16"/>
  <c r="I4" i="16"/>
  <c r="K43" i="16"/>
  <c r="K4" i="16"/>
  <c r="M43" i="16"/>
  <c r="M4" i="16"/>
  <c r="O43" i="16"/>
  <c r="O4" i="16"/>
  <c r="Q43" i="16"/>
  <c r="Q4" i="16"/>
  <c r="S43" i="16"/>
  <c r="S4" i="16"/>
  <c r="E49" i="16"/>
  <c r="G49" i="16"/>
  <c r="I49" i="16"/>
  <c r="K49" i="16"/>
  <c r="M49" i="16"/>
  <c r="O49" i="16"/>
  <c r="Q49" i="16"/>
  <c r="S49" i="16"/>
  <c r="D43" i="16"/>
  <c r="D4" i="16"/>
  <c r="F43" i="16"/>
  <c r="F4" i="16"/>
  <c r="H43" i="16"/>
  <c r="H4" i="16"/>
  <c r="J43" i="16"/>
  <c r="J4" i="16"/>
  <c r="L43" i="16"/>
  <c r="L4" i="16"/>
  <c r="N43" i="16"/>
  <c r="N4" i="16"/>
  <c r="P43" i="16"/>
  <c r="P4" i="16"/>
  <c r="R43" i="16"/>
  <c r="R4" i="16"/>
  <c r="T43" i="16"/>
  <c r="T4" i="16"/>
  <c r="C37" i="15"/>
  <c r="D37" i="15"/>
  <c r="E37" i="15"/>
  <c r="F37" i="15"/>
  <c r="G37" i="15"/>
  <c r="H37" i="15"/>
  <c r="I37" i="15"/>
  <c r="J37" i="15"/>
  <c r="K37" i="15"/>
  <c r="L37" i="15"/>
  <c r="M37" i="15"/>
  <c r="N37" i="15"/>
  <c r="O37" i="15"/>
  <c r="P37" i="15"/>
  <c r="Q37" i="15"/>
  <c r="R37" i="15"/>
  <c r="S37" i="15"/>
  <c r="T37" i="15"/>
  <c r="U37" i="15"/>
  <c r="V37" i="15"/>
  <c r="W37" i="15"/>
  <c r="X37" i="15"/>
  <c r="Y37" i="15"/>
  <c r="Z37" i="15"/>
  <c r="AA37" i="15"/>
  <c r="E41" i="15"/>
  <c r="G41" i="15"/>
  <c r="U43" i="15"/>
  <c r="U4" i="15"/>
  <c r="V4" i="15"/>
  <c r="W4" i="15"/>
  <c r="X4" i="15"/>
  <c r="Y4" i="15"/>
  <c r="Z4" i="15"/>
  <c r="I46" i="15"/>
  <c r="K46" i="15"/>
  <c r="O46" i="15"/>
  <c r="Q46" i="15"/>
  <c r="S46" i="15"/>
  <c r="U46" i="15"/>
  <c r="I41" i="15"/>
  <c r="K41" i="15"/>
  <c r="M41" i="15"/>
  <c r="O41" i="15"/>
  <c r="Q41" i="15"/>
  <c r="S41" i="15"/>
  <c r="F46" i="15"/>
  <c r="H46" i="15"/>
  <c r="J46" i="15"/>
  <c r="L46" i="15"/>
  <c r="N46" i="15"/>
  <c r="P46" i="15"/>
  <c r="R46" i="15"/>
  <c r="T46" i="15"/>
  <c r="Q48" i="15"/>
  <c r="E46" i="15"/>
  <c r="G46" i="15"/>
  <c r="M46" i="15"/>
  <c r="D48" i="15"/>
  <c r="F48" i="15"/>
  <c r="H48" i="15"/>
  <c r="J48" i="15"/>
  <c r="L48" i="15"/>
  <c r="N48" i="15"/>
  <c r="P48" i="15"/>
  <c r="R48" i="15"/>
  <c r="T48" i="15"/>
  <c r="D51" i="15"/>
  <c r="D33" i="15"/>
  <c r="F33" i="15"/>
  <c r="H51" i="15"/>
  <c r="H33" i="15"/>
  <c r="J33" i="15"/>
  <c r="L51" i="15"/>
  <c r="L33" i="15"/>
  <c r="N33" i="15"/>
  <c r="P51" i="15"/>
  <c r="P33" i="15"/>
  <c r="R33" i="15"/>
  <c r="T51" i="15"/>
  <c r="T33" i="15"/>
  <c r="U33" i="15"/>
  <c r="V33" i="15"/>
  <c r="W33" i="15"/>
  <c r="X33" i="15"/>
  <c r="Y33" i="15"/>
  <c r="Z33" i="15"/>
  <c r="E51" i="15"/>
  <c r="E33" i="15"/>
  <c r="G33" i="15"/>
  <c r="I51" i="15"/>
  <c r="I33" i="15"/>
  <c r="K33" i="15"/>
  <c r="M51" i="15"/>
  <c r="M33" i="15"/>
  <c r="O33" i="15"/>
  <c r="Q51" i="15"/>
  <c r="Q33" i="15"/>
  <c r="S33" i="15"/>
  <c r="F41" i="15"/>
  <c r="H41" i="15"/>
  <c r="J41" i="15"/>
  <c r="L41" i="15"/>
  <c r="N41" i="15"/>
  <c r="P41" i="15"/>
  <c r="R41" i="15"/>
  <c r="T41" i="15"/>
  <c r="U41" i="15"/>
  <c r="E43" i="15"/>
  <c r="E4" i="15"/>
  <c r="G43" i="15"/>
  <c r="G4" i="15"/>
  <c r="I43" i="15"/>
  <c r="I4" i="15"/>
  <c r="K43" i="15"/>
  <c r="K4" i="15"/>
  <c r="M43" i="15"/>
  <c r="M4" i="15"/>
  <c r="O43" i="15"/>
  <c r="O4" i="15"/>
  <c r="Q43" i="15"/>
  <c r="Q4" i="15"/>
  <c r="S43" i="15"/>
  <c r="S4" i="15"/>
  <c r="E49" i="15"/>
  <c r="G49" i="15"/>
  <c r="I49" i="15"/>
  <c r="K49" i="15"/>
  <c r="M49" i="15"/>
  <c r="O49" i="15"/>
  <c r="Q49" i="15"/>
  <c r="S49" i="15"/>
  <c r="D43" i="15"/>
  <c r="D4" i="15"/>
  <c r="F43" i="15"/>
  <c r="F4" i="15"/>
  <c r="H43" i="15"/>
  <c r="H4" i="15"/>
  <c r="J43" i="15"/>
  <c r="J4" i="15"/>
  <c r="L43" i="15"/>
  <c r="L4" i="15"/>
  <c r="N43" i="15"/>
  <c r="N4" i="15"/>
  <c r="P43" i="15"/>
  <c r="P4" i="15"/>
  <c r="R43" i="15"/>
  <c r="R4" i="15"/>
  <c r="T43" i="15"/>
  <c r="T4" i="15"/>
  <c r="F46" i="14"/>
  <c r="H46" i="14"/>
  <c r="J46" i="14"/>
  <c r="L46" i="14"/>
  <c r="N46" i="14"/>
  <c r="P46" i="14"/>
  <c r="R46" i="14"/>
  <c r="T46" i="14"/>
  <c r="S48" i="14"/>
  <c r="U43" i="14"/>
  <c r="U4" i="14"/>
  <c r="V4" i="14"/>
  <c r="W4" i="14"/>
  <c r="X4" i="14"/>
  <c r="Y4" i="14"/>
  <c r="Z4" i="14"/>
  <c r="E46" i="14"/>
  <c r="G46" i="14"/>
  <c r="I46" i="14"/>
  <c r="K46" i="14"/>
  <c r="M46" i="14"/>
  <c r="O46" i="14"/>
  <c r="Q46" i="14"/>
  <c r="S46" i="14"/>
  <c r="U46" i="14"/>
  <c r="D48" i="14"/>
  <c r="F48" i="14"/>
  <c r="H48" i="14"/>
  <c r="J48" i="14"/>
  <c r="L48" i="14"/>
  <c r="N48" i="14"/>
  <c r="P48" i="14"/>
  <c r="R48" i="14"/>
  <c r="T48" i="14"/>
  <c r="D51" i="14"/>
  <c r="D33" i="14"/>
  <c r="F51" i="14"/>
  <c r="H51" i="14"/>
  <c r="H33" i="14"/>
  <c r="J51" i="14"/>
  <c r="L51" i="14"/>
  <c r="L33" i="14"/>
  <c r="N51" i="14"/>
  <c r="P51" i="14"/>
  <c r="P33" i="14"/>
  <c r="R51" i="14"/>
  <c r="T51" i="14"/>
  <c r="T33" i="14"/>
  <c r="U33" i="14"/>
  <c r="V33" i="14"/>
  <c r="W33" i="14"/>
  <c r="X33" i="14"/>
  <c r="Y33" i="14"/>
  <c r="Z33" i="14"/>
  <c r="E51" i="14"/>
  <c r="E33" i="14"/>
  <c r="G51" i="14"/>
  <c r="G33" i="14"/>
  <c r="I51" i="14"/>
  <c r="I33" i="14"/>
  <c r="K51" i="14"/>
  <c r="K33" i="14"/>
  <c r="M51" i="14"/>
  <c r="M33" i="14"/>
  <c r="O51" i="14"/>
  <c r="O33" i="14"/>
  <c r="Q51" i="14"/>
  <c r="Q33" i="14"/>
  <c r="S51" i="14"/>
  <c r="S33" i="14"/>
  <c r="F41" i="14"/>
  <c r="H41" i="14"/>
  <c r="J41" i="14"/>
  <c r="L41" i="14"/>
  <c r="N41" i="14"/>
  <c r="P41" i="14"/>
  <c r="R41" i="14"/>
  <c r="T41" i="14"/>
  <c r="U41" i="14"/>
  <c r="E43" i="14"/>
  <c r="E4" i="14"/>
  <c r="G43" i="14"/>
  <c r="G4" i="14"/>
  <c r="I43" i="14"/>
  <c r="I4" i="14"/>
  <c r="K43" i="14"/>
  <c r="K4" i="14"/>
  <c r="M43" i="14"/>
  <c r="M4" i="14"/>
  <c r="O43" i="14"/>
  <c r="O4" i="14"/>
  <c r="Q43" i="14"/>
  <c r="Q4" i="14"/>
  <c r="S43" i="14"/>
  <c r="S4" i="14"/>
  <c r="E49" i="14"/>
  <c r="G49" i="14"/>
  <c r="I49" i="14"/>
  <c r="K49" i="14"/>
  <c r="M49" i="14"/>
  <c r="O49" i="14"/>
  <c r="Q49" i="14"/>
  <c r="S49" i="14"/>
  <c r="D43" i="14"/>
  <c r="D4" i="14"/>
  <c r="F43" i="14"/>
  <c r="F4" i="14"/>
  <c r="H43" i="14"/>
  <c r="H4" i="14"/>
  <c r="J43" i="14"/>
  <c r="J4" i="14"/>
  <c r="L43" i="14"/>
  <c r="L4" i="14"/>
  <c r="N43" i="14"/>
  <c r="N4" i="14"/>
  <c r="P43" i="14"/>
  <c r="P4" i="14"/>
  <c r="R43" i="14"/>
  <c r="R4" i="14"/>
  <c r="T43" i="14"/>
  <c r="T4" i="14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C32" i="13"/>
  <c r="C36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U42" i="13"/>
  <c r="T42" i="13"/>
  <c r="S42" i="13"/>
  <c r="S50" i="13"/>
  <c r="R42" i="13"/>
  <c r="Q42" i="13"/>
  <c r="Q50" i="13"/>
  <c r="P42" i="13"/>
  <c r="O42" i="13"/>
  <c r="O50" i="13"/>
  <c r="N42" i="13"/>
  <c r="M42" i="13"/>
  <c r="M50" i="13"/>
  <c r="L42" i="13"/>
  <c r="K42" i="13"/>
  <c r="K50" i="13"/>
  <c r="J42" i="13"/>
  <c r="I42" i="13"/>
  <c r="I50" i="13"/>
  <c r="H42" i="13"/>
  <c r="G42" i="13"/>
  <c r="G50" i="13"/>
  <c r="F42" i="13"/>
  <c r="E42" i="13"/>
  <c r="E50" i="13"/>
  <c r="D42" i="13"/>
  <c r="C42" i="13"/>
  <c r="C50" i="13"/>
  <c r="T40" i="13"/>
  <c r="T49" i="13"/>
  <c r="S40" i="13"/>
  <c r="R40" i="13"/>
  <c r="R49" i="13"/>
  <c r="Q40" i="13"/>
  <c r="P40" i="13"/>
  <c r="P49" i="13"/>
  <c r="O40" i="13"/>
  <c r="N40" i="13"/>
  <c r="N49" i="13"/>
  <c r="M40" i="13"/>
  <c r="L40" i="13"/>
  <c r="L49" i="13"/>
  <c r="K40" i="13"/>
  <c r="J40" i="13"/>
  <c r="J49" i="13"/>
  <c r="I40" i="13"/>
  <c r="H40" i="13"/>
  <c r="H49" i="13"/>
  <c r="G40" i="13"/>
  <c r="F40" i="13"/>
  <c r="F49" i="13"/>
  <c r="E40" i="13"/>
  <c r="D40" i="13"/>
  <c r="D49" i="13"/>
  <c r="C29" i="13"/>
  <c r="C2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X7" i="13"/>
  <c r="Y7" i="13"/>
  <c r="Z7" i="13"/>
  <c r="AA7" i="13"/>
  <c r="AB7" i="13"/>
  <c r="AC7" i="13"/>
  <c r="M52" i="20"/>
  <c r="AP22" i="24"/>
  <c r="DM22" i="24"/>
  <c r="BJ41" i="24"/>
  <c r="EG41" i="24"/>
  <c r="EF41" i="24"/>
  <c r="EE56" i="24"/>
  <c r="BI56" i="24"/>
  <c r="EE20" i="24"/>
  <c r="BI20" i="24"/>
  <c r="EE45" i="24"/>
  <c r="BI45" i="24"/>
  <c r="EE15" i="24"/>
  <c r="BI15" i="24"/>
  <c r="EF35" i="24"/>
  <c r="DM35" i="24"/>
  <c r="BJ35" i="24"/>
  <c r="EG35" i="24"/>
  <c r="EF32" i="24"/>
  <c r="DM32" i="24"/>
  <c r="BJ32" i="24"/>
  <c r="EG32" i="24"/>
  <c r="EE60" i="24"/>
  <c r="BI60" i="24"/>
  <c r="AD16" i="24"/>
  <c r="AD41" i="24"/>
  <c r="EE7" i="24"/>
  <c r="BI7" i="24"/>
  <c r="EE46" i="24"/>
  <c r="BI46" i="24"/>
  <c r="EF40" i="24"/>
  <c r="DM40" i="24"/>
  <c r="BJ40" i="24"/>
  <c r="EG40" i="24"/>
  <c r="EE36" i="24"/>
  <c r="BI36" i="24"/>
  <c r="AD62" i="24"/>
  <c r="EE5" i="24"/>
  <c r="BI5" i="24"/>
  <c r="EF51" i="24"/>
  <c r="BJ51" i="24"/>
  <c r="EG51" i="24"/>
  <c r="EF47" i="24"/>
  <c r="BJ47" i="24"/>
  <c r="EG47" i="24"/>
  <c r="EE12" i="24"/>
  <c r="BI12" i="24"/>
  <c r="AD45" i="24"/>
  <c r="AP31" i="24"/>
  <c r="EF27" i="24"/>
  <c r="BJ27" i="24"/>
  <c r="EF57" i="24"/>
  <c r="BJ57" i="24"/>
  <c r="AP35" i="24"/>
  <c r="EF21" i="24"/>
  <c r="BJ21" i="24"/>
  <c r="AP32" i="24"/>
  <c r="EE37" i="24"/>
  <c r="BI37" i="24"/>
  <c r="EF61" i="24"/>
  <c r="BJ61" i="24"/>
  <c r="EF26" i="24"/>
  <c r="BJ26" i="24"/>
  <c r="EG26" i="24"/>
  <c r="AD17" i="24"/>
  <c r="AD37" i="24"/>
  <c r="AD51" i="24"/>
  <c r="EF16" i="24"/>
  <c r="BJ16" i="24"/>
  <c r="EG16" i="24"/>
  <c r="EE17" i="24"/>
  <c r="BI17" i="24"/>
  <c r="EE50" i="24"/>
  <c r="BI50" i="24"/>
  <c r="EG55" i="24"/>
  <c r="DM55" i="24"/>
  <c r="AP55" i="24"/>
  <c r="AD55" i="24"/>
  <c r="AD27" i="24"/>
  <c r="EE62" i="24"/>
  <c r="BI62" i="24"/>
  <c r="EF30" i="24"/>
  <c r="BJ30" i="24"/>
  <c r="EG30" i="24"/>
  <c r="EF25" i="24"/>
  <c r="BJ25" i="24"/>
  <c r="EG25" i="24"/>
  <c r="AP40" i="24"/>
  <c r="AP47" i="24"/>
  <c r="EE42" i="24"/>
  <c r="BI42" i="24"/>
  <c r="EF10" i="24"/>
  <c r="BJ10" i="24"/>
  <c r="EG10" i="24"/>
  <c r="AD12" i="24"/>
  <c r="EF11" i="24"/>
  <c r="DM11" i="24"/>
  <c r="BJ11" i="24"/>
  <c r="EG11" i="24"/>
  <c r="AP25" i="24"/>
  <c r="EF52" i="24"/>
  <c r="BJ52" i="24"/>
  <c r="H52" i="20"/>
  <c r="E52" i="20"/>
  <c r="R52" i="20"/>
  <c r="N52" i="20"/>
  <c r="J52" i="20"/>
  <c r="I52" i="20"/>
  <c r="F52" i="20"/>
  <c r="P52" i="20"/>
  <c r="D50" i="13"/>
  <c r="D51" i="13"/>
  <c r="F50" i="13"/>
  <c r="F33" i="13"/>
  <c r="H50" i="13"/>
  <c r="I51" i="13"/>
  <c r="J50" i="13"/>
  <c r="J33" i="13"/>
  <c r="L50" i="13"/>
  <c r="L33" i="13"/>
  <c r="N50" i="13"/>
  <c r="N33" i="13"/>
  <c r="P50" i="13"/>
  <c r="P51" i="13"/>
  <c r="R50" i="13"/>
  <c r="R33" i="13"/>
  <c r="T50" i="13"/>
  <c r="T51" i="13"/>
  <c r="S51" i="15"/>
  <c r="O51" i="15"/>
  <c r="K51" i="15"/>
  <c r="G51" i="15"/>
  <c r="Q51" i="16"/>
  <c r="M51" i="16"/>
  <c r="I51" i="16"/>
  <c r="E51" i="16"/>
  <c r="Q51" i="19"/>
  <c r="M51" i="19"/>
  <c r="I51" i="19"/>
  <c r="E51" i="19"/>
  <c r="T52" i="20"/>
  <c r="L52" i="20"/>
  <c r="D52" i="20"/>
  <c r="S52" i="20"/>
  <c r="O52" i="20"/>
  <c r="K52" i="20"/>
  <c r="G52" i="20"/>
  <c r="E48" i="13"/>
  <c r="I48" i="13"/>
  <c r="K48" i="13"/>
  <c r="M48" i="13"/>
  <c r="O48" i="13"/>
  <c r="S48" i="13"/>
  <c r="U48" i="13"/>
  <c r="D8" i="20"/>
  <c r="E5" i="20"/>
  <c r="U43" i="13"/>
  <c r="U4" i="13"/>
  <c r="V4" i="13"/>
  <c r="W4" i="13"/>
  <c r="X4" i="13"/>
  <c r="Y4" i="13"/>
  <c r="Z4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E41" i="13"/>
  <c r="G41" i="13"/>
  <c r="I41" i="13"/>
  <c r="K41" i="13"/>
  <c r="M41" i="13"/>
  <c r="O41" i="13"/>
  <c r="Q41" i="13"/>
  <c r="S41" i="13"/>
  <c r="F46" i="13"/>
  <c r="H46" i="13"/>
  <c r="J46" i="13"/>
  <c r="L46" i="13"/>
  <c r="N46" i="13"/>
  <c r="P46" i="13"/>
  <c r="R46" i="13"/>
  <c r="T46" i="13"/>
  <c r="G48" i="13"/>
  <c r="Q48" i="13"/>
  <c r="E46" i="13"/>
  <c r="G46" i="13"/>
  <c r="I46" i="13"/>
  <c r="K46" i="13"/>
  <c r="M46" i="13"/>
  <c r="O46" i="13"/>
  <c r="Q46" i="13"/>
  <c r="S46" i="13"/>
  <c r="U46" i="13"/>
  <c r="D48" i="13"/>
  <c r="F48" i="13"/>
  <c r="H48" i="13"/>
  <c r="J48" i="13"/>
  <c r="L48" i="13"/>
  <c r="N48" i="13"/>
  <c r="P48" i="13"/>
  <c r="R48" i="13"/>
  <c r="T48" i="13"/>
  <c r="I33" i="13"/>
  <c r="D33" i="13"/>
  <c r="F51" i="13"/>
  <c r="H51" i="13"/>
  <c r="N51" i="13"/>
  <c r="T33" i="13"/>
  <c r="U33" i="13"/>
  <c r="V33" i="13"/>
  <c r="W33" i="13"/>
  <c r="X33" i="13"/>
  <c r="Y33" i="13"/>
  <c r="Z33" i="13"/>
  <c r="E33" i="13"/>
  <c r="G33" i="13"/>
  <c r="K33" i="13"/>
  <c r="M33" i="13"/>
  <c r="O51" i="13"/>
  <c r="O33" i="13"/>
  <c r="Q33" i="13"/>
  <c r="S33" i="13"/>
  <c r="F41" i="13"/>
  <c r="H41" i="13"/>
  <c r="J41" i="13"/>
  <c r="L41" i="13"/>
  <c r="N41" i="13"/>
  <c r="P41" i="13"/>
  <c r="R41" i="13"/>
  <c r="T41" i="13"/>
  <c r="U41" i="13"/>
  <c r="E43" i="13"/>
  <c r="E4" i="13"/>
  <c r="G43" i="13"/>
  <c r="G4" i="13"/>
  <c r="I43" i="13"/>
  <c r="I4" i="13"/>
  <c r="K43" i="13"/>
  <c r="K4" i="13"/>
  <c r="M43" i="13"/>
  <c r="M4" i="13"/>
  <c r="O43" i="13"/>
  <c r="O4" i="13"/>
  <c r="Q43" i="13"/>
  <c r="Q4" i="13"/>
  <c r="S43" i="13"/>
  <c r="S4" i="13"/>
  <c r="E49" i="13"/>
  <c r="G49" i="13"/>
  <c r="I49" i="13"/>
  <c r="K49" i="13"/>
  <c r="M49" i="13"/>
  <c r="O49" i="13"/>
  <c r="Q49" i="13"/>
  <c r="S49" i="13"/>
  <c r="D43" i="13"/>
  <c r="D4" i="13"/>
  <c r="F43" i="13"/>
  <c r="F4" i="13"/>
  <c r="H43" i="13"/>
  <c r="H4" i="13"/>
  <c r="J43" i="13"/>
  <c r="J4" i="13"/>
  <c r="L43" i="13"/>
  <c r="L4" i="13"/>
  <c r="N43" i="13"/>
  <c r="N4" i="13"/>
  <c r="P43" i="13"/>
  <c r="P4" i="13"/>
  <c r="R43" i="13"/>
  <c r="R4" i="13"/>
  <c r="T43" i="13"/>
  <c r="T4" i="13"/>
  <c r="K16" i="6"/>
  <c r="N5" i="6"/>
  <c r="N6" i="6"/>
  <c r="N7" i="6"/>
  <c r="N8" i="6"/>
  <c r="N10" i="6"/>
  <c r="N11" i="6"/>
  <c r="O11" i="6"/>
  <c r="N12" i="6"/>
  <c r="N13" i="6"/>
  <c r="N14" i="6"/>
  <c r="N15" i="6"/>
  <c r="N4" i="6"/>
  <c r="O4" i="6"/>
  <c r="J9" i="6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S51" i="13"/>
  <c r="K51" i="13"/>
  <c r="G51" i="13"/>
  <c r="P33" i="13"/>
  <c r="L51" i="13"/>
  <c r="AP30" i="24"/>
  <c r="AP10" i="24"/>
  <c r="DM10" i="24"/>
  <c r="DM25" i="24"/>
  <c r="AP26" i="24"/>
  <c r="DM26" i="24"/>
  <c r="DM47" i="24"/>
  <c r="DM51" i="24"/>
  <c r="DM41" i="24"/>
  <c r="AP41" i="24"/>
  <c r="EG52" i="24"/>
  <c r="DM52" i="24"/>
  <c r="AP52" i="24"/>
  <c r="EF42" i="24"/>
  <c r="BJ42" i="24"/>
  <c r="EG42" i="24"/>
  <c r="DM30" i="24"/>
  <c r="EF62" i="24"/>
  <c r="BJ62" i="24"/>
  <c r="EF17" i="24"/>
  <c r="BJ17" i="24"/>
  <c r="AP16" i="24"/>
  <c r="DM16" i="24"/>
  <c r="EF37" i="24"/>
  <c r="BJ37" i="24"/>
  <c r="EG37" i="24"/>
  <c r="EG21" i="24"/>
  <c r="DM21" i="24"/>
  <c r="AP21" i="24"/>
  <c r="EG27" i="24"/>
  <c r="DM27" i="24"/>
  <c r="AP27" i="24"/>
  <c r="AP51" i="24"/>
  <c r="EF5" i="24"/>
  <c r="BJ5" i="24"/>
  <c r="AP11" i="24"/>
  <c r="AP42" i="24"/>
  <c r="DM42" i="24"/>
  <c r="EF50" i="24"/>
  <c r="BJ50" i="24"/>
  <c r="EG50" i="24"/>
  <c r="EG61" i="24"/>
  <c r="DM61" i="24"/>
  <c r="AP61" i="24"/>
  <c r="EG57" i="24"/>
  <c r="DM57" i="24"/>
  <c r="AP57" i="24"/>
  <c r="EF12" i="24"/>
  <c r="DM12" i="24"/>
  <c r="BJ12" i="24"/>
  <c r="EG12" i="24"/>
  <c r="EF36" i="24"/>
  <c r="BJ36" i="24"/>
  <c r="EF46" i="24"/>
  <c r="BJ46" i="24"/>
  <c r="EF7" i="24"/>
  <c r="BJ7" i="24"/>
  <c r="EF60" i="24"/>
  <c r="BJ60" i="24"/>
  <c r="EF15" i="24"/>
  <c r="BJ15" i="24"/>
  <c r="EF45" i="24"/>
  <c r="BJ45" i="24"/>
  <c r="EF20" i="24"/>
  <c r="BJ20" i="24"/>
  <c r="EF56" i="24"/>
  <c r="BJ56" i="24"/>
  <c r="Q51" i="13"/>
  <c r="M51" i="13"/>
  <c r="E51" i="13"/>
  <c r="H33" i="13"/>
  <c r="R51" i="13"/>
  <c r="J51" i="13"/>
  <c r="E8" i="20"/>
  <c r="F5" i="20"/>
  <c r="O14" i="6"/>
  <c r="O12" i="6"/>
  <c r="O10" i="6"/>
  <c r="O7" i="6"/>
  <c r="O5" i="6"/>
  <c r="O15" i="6"/>
  <c r="O13" i="6"/>
  <c r="O8" i="6"/>
  <c r="O6" i="6"/>
  <c r="L9" i="6"/>
  <c r="L16" i="6"/>
  <c r="C53" i="12"/>
  <c r="C35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C11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29" i="12"/>
  <c r="C24" i="12"/>
  <c r="C55" i="8"/>
  <c r="DM50" i="24"/>
  <c r="AP37" i="24"/>
  <c r="DM37" i="24"/>
  <c r="EG62" i="24"/>
  <c r="DM62" i="24"/>
  <c r="AP62" i="24"/>
  <c r="AP50" i="24"/>
  <c r="EG56" i="24"/>
  <c r="DM56" i="24"/>
  <c r="AP56" i="24"/>
  <c r="EG20" i="24"/>
  <c r="DM20" i="24"/>
  <c r="AP20" i="24"/>
  <c r="EG45" i="24"/>
  <c r="DM45" i="24"/>
  <c r="AP45" i="24"/>
  <c r="EG15" i="24"/>
  <c r="DM15" i="24"/>
  <c r="AP15" i="24"/>
  <c r="EG60" i="24"/>
  <c r="DM60" i="24"/>
  <c r="AP60" i="24"/>
  <c r="EG7" i="24"/>
  <c r="DM7" i="24"/>
  <c r="AP7" i="24"/>
  <c r="EG46" i="24"/>
  <c r="DM46" i="24"/>
  <c r="AP46" i="24"/>
  <c r="EG36" i="24"/>
  <c r="DM36" i="24"/>
  <c r="AP36" i="24"/>
  <c r="AP12" i="24"/>
  <c r="EG5" i="24"/>
  <c r="DM5" i="24"/>
  <c r="AP5" i="24"/>
  <c r="EG17" i="24"/>
  <c r="DM17" i="24"/>
  <c r="AP17" i="24"/>
  <c r="O52" i="8"/>
  <c r="F8" i="20"/>
  <c r="G5" i="20"/>
  <c r="N9" i="6"/>
  <c r="E49" i="12"/>
  <c r="G49" i="12"/>
  <c r="I49" i="12"/>
  <c r="K49" i="12"/>
  <c r="M49" i="12"/>
  <c r="O49" i="12"/>
  <c r="Q49" i="12"/>
  <c r="S49" i="12"/>
  <c r="D43" i="12"/>
  <c r="D4" i="12"/>
  <c r="F50" i="12"/>
  <c r="H50" i="12"/>
  <c r="J50" i="12"/>
  <c r="L50" i="12"/>
  <c r="N50" i="12"/>
  <c r="P50" i="12"/>
  <c r="R50" i="12"/>
  <c r="T50" i="12"/>
  <c r="E46" i="12"/>
  <c r="F46" i="12"/>
  <c r="H46" i="12"/>
  <c r="J46" i="12"/>
  <c r="L46" i="12"/>
  <c r="N46" i="12"/>
  <c r="P46" i="12"/>
  <c r="E48" i="12"/>
  <c r="I48" i="12"/>
  <c r="K48" i="12"/>
  <c r="M48" i="12"/>
  <c r="O48" i="12"/>
  <c r="Q48" i="12"/>
  <c r="U48" i="12"/>
  <c r="C50" i="12"/>
  <c r="C33" i="12"/>
  <c r="E50" i="12"/>
  <c r="G50" i="12"/>
  <c r="I50" i="12"/>
  <c r="K50" i="12"/>
  <c r="M50" i="12"/>
  <c r="O50" i="12"/>
  <c r="Q50" i="12"/>
  <c r="S50" i="12"/>
  <c r="R46" i="12"/>
  <c r="T46" i="12"/>
  <c r="G48" i="12"/>
  <c r="S48" i="12"/>
  <c r="E41" i="12"/>
  <c r="F41" i="12"/>
  <c r="H41" i="12"/>
  <c r="J41" i="12"/>
  <c r="L41" i="12"/>
  <c r="N41" i="12"/>
  <c r="P41" i="12"/>
  <c r="R41" i="12"/>
  <c r="T41" i="12"/>
  <c r="U41" i="12"/>
  <c r="U43" i="12"/>
  <c r="U4" i="12"/>
  <c r="V4" i="12"/>
  <c r="W4" i="12"/>
  <c r="X4" i="12"/>
  <c r="Y4" i="12"/>
  <c r="Z4" i="12"/>
  <c r="D48" i="12"/>
  <c r="F48" i="12"/>
  <c r="H48" i="12"/>
  <c r="J48" i="12"/>
  <c r="L48" i="12"/>
  <c r="N48" i="12"/>
  <c r="P48" i="12"/>
  <c r="R48" i="12"/>
  <c r="T48" i="12"/>
  <c r="G41" i="12"/>
  <c r="F43" i="12"/>
  <c r="F4" i="12"/>
  <c r="H43" i="12"/>
  <c r="H4" i="12"/>
  <c r="J43" i="12"/>
  <c r="J4" i="12"/>
  <c r="L43" i="12"/>
  <c r="L4" i="12"/>
  <c r="N43" i="12"/>
  <c r="N4" i="12"/>
  <c r="P43" i="12"/>
  <c r="P4" i="12"/>
  <c r="R43" i="12"/>
  <c r="R4" i="12"/>
  <c r="T43" i="12"/>
  <c r="T4" i="12"/>
  <c r="G46" i="12"/>
  <c r="D49" i="12"/>
  <c r="F49" i="12"/>
  <c r="H49" i="12"/>
  <c r="J49" i="12"/>
  <c r="L49" i="12"/>
  <c r="N49" i="12"/>
  <c r="P49" i="12"/>
  <c r="R49" i="12"/>
  <c r="T49" i="12"/>
  <c r="D50" i="12"/>
  <c r="I41" i="12"/>
  <c r="K41" i="12"/>
  <c r="M41" i="12"/>
  <c r="O41" i="12"/>
  <c r="Q41" i="12"/>
  <c r="S41" i="12"/>
  <c r="I46" i="12"/>
  <c r="K46" i="12"/>
  <c r="M46" i="12"/>
  <c r="O46" i="12"/>
  <c r="Q46" i="12"/>
  <c r="S46" i="12"/>
  <c r="U46" i="12"/>
  <c r="E43" i="12"/>
  <c r="E4" i="12"/>
  <c r="G43" i="12"/>
  <c r="G4" i="12"/>
  <c r="I43" i="12"/>
  <c r="I4" i="12"/>
  <c r="K43" i="12"/>
  <c r="K4" i="12"/>
  <c r="M43" i="12"/>
  <c r="M4" i="12"/>
  <c r="O43" i="12"/>
  <c r="O4" i="12"/>
  <c r="Q43" i="12"/>
  <c r="Q4" i="12"/>
  <c r="S43" i="12"/>
  <c r="S4" i="12"/>
  <c r="D55" i="8"/>
  <c r="P52" i="8"/>
  <c r="D95" i="8"/>
  <c r="C95" i="8"/>
  <c r="G8" i="20"/>
  <c r="H5" i="20"/>
  <c r="O9" i="6"/>
  <c r="S33" i="12"/>
  <c r="S51" i="12"/>
  <c r="O33" i="12"/>
  <c r="O51" i="12"/>
  <c r="K33" i="12"/>
  <c r="K51" i="12"/>
  <c r="G33" i="12"/>
  <c r="G51" i="12"/>
  <c r="T33" i="12"/>
  <c r="U33" i="12"/>
  <c r="V33" i="12"/>
  <c r="W33" i="12"/>
  <c r="X33" i="12"/>
  <c r="Y33" i="12"/>
  <c r="Z33" i="12"/>
  <c r="T51" i="12"/>
  <c r="P33" i="12"/>
  <c r="P51" i="12"/>
  <c r="L33" i="12"/>
  <c r="L51" i="12"/>
  <c r="H33" i="12"/>
  <c r="H51" i="12"/>
  <c r="D33" i="12"/>
  <c r="D51" i="12"/>
  <c r="Q33" i="12"/>
  <c r="Q51" i="12"/>
  <c r="M33" i="12"/>
  <c r="M51" i="12"/>
  <c r="I33" i="12"/>
  <c r="I51" i="12"/>
  <c r="E33" i="12"/>
  <c r="E51" i="12"/>
  <c r="R33" i="12"/>
  <c r="R51" i="12"/>
  <c r="N33" i="12"/>
  <c r="N51" i="12"/>
  <c r="J33" i="12"/>
  <c r="J51" i="12"/>
  <c r="F33" i="12"/>
  <c r="F51" i="12"/>
  <c r="C1" i="6"/>
  <c r="D1" i="6"/>
  <c r="E1" i="6"/>
  <c r="Y22" i="5"/>
  <c r="Y23" i="5"/>
  <c r="V22" i="5"/>
  <c r="V23" i="5"/>
  <c r="H23" i="5"/>
  <c r="T22" i="5"/>
  <c r="R22" i="5"/>
  <c r="R23" i="5"/>
  <c r="Q22" i="5"/>
  <c r="Y21" i="5"/>
  <c r="X21" i="5"/>
  <c r="V21" i="5"/>
  <c r="T21" i="5"/>
  <c r="R21" i="5"/>
  <c r="Q21" i="5"/>
  <c r="Y20" i="5"/>
  <c r="X20" i="5"/>
  <c r="X25" i="5"/>
  <c r="V20" i="5"/>
  <c r="T20" i="5"/>
  <c r="R20" i="5"/>
  <c r="Q20" i="5"/>
  <c r="Y19" i="5"/>
  <c r="X19" i="5"/>
  <c r="X24" i="5"/>
  <c r="V19" i="5"/>
  <c r="T19" i="5"/>
  <c r="R19" i="5"/>
  <c r="Q19" i="5"/>
  <c r="Y18" i="5"/>
  <c r="X18" i="5"/>
  <c r="X23" i="5"/>
  <c r="J23" i="5"/>
  <c r="V18" i="5"/>
  <c r="T18" i="5"/>
  <c r="R18" i="5"/>
  <c r="Q18" i="5"/>
  <c r="Y17" i="5"/>
  <c r="X17" i="5"/>
  <c r="V17" i="5"/>
  <c r="T17" i="5"/>
  <c r="R17" i="5"/>
  <c r="Q17" i="5"/>
  <c r="Q26" i="5"/>
  <c r="Y16" i="5"/>
  <c r="X16" i="5"/>
  <c r="V16" i="5"/>
  <c r="T16" i="5"/>
  <c r="R16" i="5"/>
  <c r="Q16" i="5"/>
  <c r="Q25" i="5"/>
  <c r="Y15" i="5"/>
  <c r="X15" i="5"/>
  <c r="V15" i="5"/>
  <c r="V24" i="5"/>
  <c r="T15" i="5"/>
  <c r="T24" i="5"/>
  <c r="T25" i="5"/>
  <c r="R15" i="5"/>
  <c r="Q15" i="5"/>
  <c r="Q24" i="5"/>
  <c r="Y14" i="5"/>
  <c r="X14" i="5"/>
  <c r="V14" i="5"/>
  <c r="T14" i="5"/>
  <c r="T23" i="5"/>
  <c r="F23" i="5"/>
  <c r="R14" i="5"/>
  <c r="Q14" i="5"/>
  <c r="Q23" i="5"/>
  <c r="C23" i="5"/>
  <c r="Y13" i="5"/>
  <c r="X13" i="5"/>
  <c r="V13" i="5"/>
  <c r="T13" i="5"/>
  <c r="R13" i="5"/>
  <c r="Q13" i="5"/>
  <c r="Y12" i="5"/>
  <c r="X12" i="5"/>
  <c r="V12" i="5"/>
  <c r="T12" i="5"/>
  <c r="R12" i="5"/>
  <c r="Q12" i="5"/>
  <c r="Y11" i="5"/>
  <c r="X11" i="5"/>
  <c r="V11" i="5"/>
  <c r="T11" i="5"/>
  <c r="R11" i="5"/>
  <c r="Q11" i="5"/>
  <c r="Y10" i="5"/>
  <c r="X10" i="5"/>
  <c r="V10" i="5"/>
  <c r="T10" i="5"/>
  <c r="R10" i="5"/>
  <c r="Q10" i="5"/>
  <c r="Y9" i="5"/>
  <c r="X9" i="5"/>
  <c r="V9" i="5"/>
  <c r="T9" i="5"/>
  <c r="R9" i="5"/>
  <c r="Q9" i="5"/>
  <c r="Z8" i="5"/>
  <c r="Y8" i="5"/>
  <c r="X8" i="5"/>
  <c r="V8" i="5"/>
  <c r="U8" i="5"/>
  <c r="T8" i="5"/>
  <c r="R8" i="5"/>
  <c r="Q8" i="5"/>
  <c r="AA7" i="5"/>
  <c r="Z7" i="5"/>
  <c r="Y7" i="5"/>
  <c r="X7" i="5"/>
  <c r="W7" i="5"/>
  <c r="V7" i="5"/>
  <c r="U7" i="5"/>
  <c r="T7" i="5"/>
  <c r="S7" i="5"/>
  <c r="R7" i="5"/>
  <c r="Q7" i="5"/>
  <c r="AA6" i="5"/>
  <c r="Z6" i="5"/>
  <c r="Y6" i="5"/>
  <c r="X6" i="5"/>
  <c r="W6" i="5"/>
  <c r="V6" i="5"/>
  <c r="U6" i="5"/>
  <c r="T6" i="5"/>
  <c r="S6" i="5"/>
  <c r="R6" i="5"/>
  <c r="Q6" i="5"/>
  <c r="AA5" i="5"/>
  <c r="Z5" i="5"/>
  <c r="Y5" i="5"/>
  <c r="X5" i="5"/>
  <c r="W5" i="5"/>
  <c r="V5" i="5"/>
  <c r="U5" i="5"/>
  <c r="T5" i="5"/>
  <c r="S5" i="5"/>
  <c r="R5" i="5"/>
  <c r="Q5" i="5"/>
  <c r="AA4" i="5"/>
  <c r="Z4" i="5"/>
  <c r="Y4" i="5"/>
  <c r="X4" i="5"/>
  <c r="W4" i="5"/>
  <c r="V4" i="5"/>
  <c r="U4" i="5"/>
  <c r="T4" i="5"/>
  <c r="S4" i="5"/>
  <c r="R4" i="5"/>
  <c r="Q4" i="5"/>
  <c r="AB2" i="5"/>
  <c r="AA2" i="5"/>
  <c r="Z2" i="5"/>
  <c r="Y2" i="5"/>
  <c r="X2" i="5"/>
  <c r="W2" i="5"/>
  <c r="V2" i="5"/>
  <c r="U2" i="5"/>
  <c r="T2" i="5"/>
  <c r="S2" i="5"/>
  <c r="R2" i="5"/>
  <c r="Q2" i="5"/>
  <c r="E55" i="8"/>
  <c r="F24" i="5"/>
  <c r="AA23" i="24"/>
  <c r="AA53" i="24"/>
  <c r="V25" i="5"/>
  <c r="R26" i="5"/>
  <c r="T26" i="5"/>
  <c r="V26" i="5"/>
  <c r="Q27" i="5"/>
  <c r="C27" i="5"/>
  <c r="X22" i="5"/>
  <c r="X27" i="5"/>
  <c r="J27" i="5"/>
  <c r="AE43" i="24"/>
  <c r="X26" i="5"/>
  <c r="C24" i="5"/>
  <c r="AA8" i="24"/>
  <c r="AA18" i="24"/>
  <c r="AA38" i="24"/>
  <c r="M28" i="5"/>
  <c r="J24" i="5"/>
  <c r="AA43" i="24"/>
  <c r="D23" i="5"/>
  <c r="R24" i="5"/>
  <c r="R25" i="5"/>
  <c r="H24" i="5"/>
  <c r="AA33" i="24"/>
  <c r="Y24" i="5"/>
  <c r="Y25" i="5"/>
  <c r="Y26" i="5"/>
  <c r="K23" i="5"/>
  <c r="AF43" i="24"/>
  <c r="AF8" i="24"/>
  <c r="AE8" i="24"/>
  <c r="Q52" i="8"/>
  <c r="X29" i="5"/>
  <c r="J29" i="5"/>
  <c r="AG43" i="24"/>
  <c r="C39" i="5"/>
  <c r="J49" i="5"/>
  <c r="Y27" i="5"/>
  <c r="K27" i="5"/>
  <c r="M27" i="5"/>
  <c r="Q29" i="5"/>
  <c r="R27" i="5"/>
  <c r="D27" i="5"/>
  <c r="T27" i="5"/>
  <c r="F27" i="5"/>
  <c r="V27" i="5"/>
  <c r="H27" i="5"/>
  <c r="J39" i="5"/>
  <c r="C52" i="21"/>
  <c r="C52" i="23"/>
  <c r="C52" i="22"/>
  <c r="C53" i="20"/>
  <c r="C52" i="19"/>
  <c r="C52" i="18"/>
  <c r="C52" i="17"/>
  <c r="C52" i="16"/>
  <c r="C52" i="15"/>
  <c r="C52" i="14"/>
  <c r="C52" i="13"/>
  <c r="H8" i="20"/>
  <c r="I5" i="20"/>
  <c r="F1" i="6"/>
  <c r="G1" i="6"/>
  <c r="H1" i="6"/>
  <c r="I1" i="6"/>
  <c r="C52" i="12"/>
  <c r="F55" i="8"/>
  <c r="O28" i="5"/>
  <c r="AA63" i="24"/>
  <c r="CF62" i="24"/>
  <c r="DE62" i="24"/>
  <c r="K24" i="5"/>
  <c r="AA48" i="24"/>
  <c r="H25" i="5"/>
  <c r="AB33" i="24"/>
  <c r="D24" i="5"/>
  <c r="AA13" i="24"/>
  <c r="J25" i="5"/>
  <c r="AB43" i="24"/>
  <c r="AB38" i="24"/>
  <c r="AB18" i="24"/>
  <c r="C25" i="5"/>
  <c r="AB8" i="24"/>
  <c r="CF52" i="24"/>
  <c r="DE52" i="24"/>
  <c r="CF50" i="24"/>
  <c r="DE50" i="24"/>
  <c r="CF51" i="24"/>
  <c r="DE51" i="24"/>
  <c r="CF22" i="24"/>
  <c r="DE22" i="24"/>
  <c r="CF21" i="24"/>
  <c r="DE21" i="24"/>
  <c r="CF20" i="24"/>
  <c r="DE20" i="24"/>
  <c r="CF32" i="24"/>
  <c r="DE32" i="24"/>
  <c r="CF30" i="24"/>
  <c r="DE30" i="24"/>
  <c r="CF31" i="24"/>
  <c r="DE31" i="24"/>
  <c r="CF41" i="24"/>
  <c r="DE41" i="24"/>
  <c r="CF42" i="24"/>
  <c r="DE42" i="24"/>
  <c r="CF40" i="24"/>
  <c r="DE40" i="24"/>
  <c r="M24" i="5"/>
  <c r="AA58" i="24"/>
  <c r="CF37" i="24"/>
  <c r="DE37" i="24"/>
  <c r="CF36" i="24"/>
  <c r="DE36" i="24"/>
  <c r="CF35" i="24"/>
  <c r="DE35" i="24"/>
  <c r="CF17" i="24"/>
  <c r="DE17" i="24"/>
  <c r="CF15" i="24"/>
  <c r="DE15" i="24"/>
  <c r="CF16" i="24"/>
  <c r="DE16" i="24"/>
  <c r="CF7" i="24"/>
  <c r="DE7" i="24"/>
  <c r="CF6" i="24"/>
  <c r="DE6" i="24"/>
  <c r="CF5" i="24"/>
  <c r="DE5" i="24"/>
  <c r="O23" i="5"/>
  <c r="AC23" i="5"/>
  <c r="AA28" i="24"/>
  <c r="AB63" i="24"/>
  <c r="AB53" i="24"/>
  <c r="F25" i="5"/>
  <c r="AB23" i="24"/>
  <c r="CL41" i="24"/>
  <c r="DK41" i="24"/>
  <c r="CL42" i="24"/>
  <c r="DK42" i="24"/>
  <c r="CL40" i="24"/>
  <c r="DK40" i="24"/>
  <c r="AF23" i="24"/>
  <c r="AE23" i="24"/>
  <c r="AE48" i="24"/>
  <c r="AF48" i="24"/>
  <c r="AE63" i="24"/>
  <c r="AF63" i="24"/>
  <c r="AE33" i="24"/>
  <c r="AF33" i="24"/>
  <c r="AE13" i="24"/>
  <c r="AF13" i="24"/>
  <c r="AE58" i="24"/>
  <c r="AF58" i="24"/>
  <c r="AE38" i="24"/>
  <c r="AF38" i="24"/>
  <c r="AE18" i="24"/>
  <c r="AF18" i="24"/>
  <c r="CJ7" i="24"/>
  <c r="DI7" i="24"/>
  <c r="CJ5" i="24"/>
  <c r="DI5" i="24"/>
  <c r="CJ6" i="24"/>
  <c r="DI6" i="24"/>
  <c r="CK41" i="24"/>
  <c r="DJ41" i="24"/>
  <c r="CK42" i="24"/>
  <c r="DJ42" i="24"/>
  <c r="CK40" i="24"/>
  <c r="DJ40" i="24"/>
  <c r="AE53" i="24"/>
  <c r="AF53" i="24"/>
  <c r="AE28" i="24"/>
  <c r="AF28" i="24"/>
  <c r="CK5" i="24"/>
  <c r="DJ5" i="24"/>
  <c r="CK7" i="24"/>
  <c r="DJ7" i="24"/>
  <c r="CK6" i="24"/>
  <c r="DJ6" i="24"/>
  <c r="CJ42" i="24"/>
  <c r="DI42" i="24"/>
  <c r="CJ40" i="24"/>
  <c r="DI40" i="24"/>
  <c r="CJ41" i="24"/>
  <c r="DI41" i="24"/>
  <c r="Y29" i="5"/>
  <c r="Y30" i="5"/>
  <c r="AC4" i="19"/>
  <c r="O27" i="5"/>
  <c r="AC27" i="5"/>
  <c r="R52" i="8"/>
  <c r="F95" i="8"/>
  <c r="C29" i="5"/>
  <c r="AG8" i="24"/>
  <c r="AB4" i="13"/>
  <c r="AA4" i="13"/>
  <c r="R39" i="5"/>
  <c r="N49" i="5"/>
  <c r="AB29" i="5"/>
  <c r="Q30" i="5"/>
  <c r="AC4" i="13"/>
  <c r="U29" i="5"/>
  <c r="X30" i="5"/>
  <c r="AC4" i="20"/>
  <c r="AB4" i="20"/>
  <c r="AA4" i="20"/>
  <c r="E95" i="8"/>
  <c r="C40" i="5"/>
  <c r="J50" i="5"/>
  <c r="J30" i="5"/>
  <c r="J40" i="5"/>
  <c r="N50" i="5"/>
  <c r="L39" i="5"/>
  <c r="I49" i="5"/>
  <c r="F39" i="5"/>
  <c r="C49" i="5"/>
  <c r="M39" i="5"/>
  <c r="M49" i="5"/>
  <c r="I39" i="5"/>
  <c r="F49" i="5"/>
  <c r="E39" i="5"/>
  <c r="T29" i="5"/>
  <c r="N39" i="5"/>
  <c r="L49" i="5"/>
  <c r="H39" i="5"/>
  <c r="G49" i="5"/>
  <c r="D39" i="5"/>
  <c r="K39" i="5"/>
  <c r="D49" i="5"/>
  <c r="K29" i="5"/>
  <c r="AG48" i="24"/>
  <c r="G39" i="5"/>
  <c r="E49" i="5"/>
  <c r="V29" i="5"/>
  <c r="R29" i="5"/>
  <c r="AA29" i="5"/>
  <c r="W29" i="5"/>
  <c r="J1" i="6"/>
  <c r="D41" i="23"/>
  <c r="D41" i="22"/>
  <c r="D41" i="21"/>
  <c r="D41" i="14"/>
  <c r="D42" i="20"/>
  <c r="D41" i="19"/>
  <c r="D41" i="18"/>
  <c r="D41" i="17"/>
  <c r="D41" i="16"/>
  <c r="D41" i="15"/>
  <c r="D41" i="13"/>
  <c r="I8" i="20"/>
  <c r="J5" i="20"/>
  <c r="D41" i="12"/>
  <c r="G55" i="8"/>
  <c r="AG28" i="24"/>
  <c r="CL25" i="24"/>
  <c r="DK25" i="24"/>
  <c r="G29" i="5"/>
  <c r="K49" i="5"/>
  <c r="CF60" i="24"/>
  <c r="DE60" i="24"/>
  <c r="CF61" i="24"/>
  <c r="DE61" i="24"/>
  <c r="AC28" i="5"/>
  <c r="O24" i="5"/>
  <c r="AC24" i="5"/>
  <c r="CG22" i="24"/>
  <c r="DF22" i="24"/>
  <c r="CG20" i="24"/>
  <c r="DF20" i="24"/>
  <c r="CG21" i="24"/>
  <c r="DF21" i="24"/>
  <c r="CG51" i="24"/>
  <c r="DF51" i="24"/>
  <c r="CG52" i="24"/>
  <c r="DF52" i="24"/>
  <c r="CG50" i="24"/>
  <c r="DF50" i="24"/>
  <c r="CG62" i="24"/>
  <c r="DF62" i="24"/>
  <c r="CG60" i="24"/>
  <c r="DF60" i="24"/>
  <c r="CG61" i="24"/>
  <c r="DF61" i="24"/>
  <c r="CF27" i="24"/>
  <c r="DE27" i="24"/>
  <c r="CF25" i="24"/>
  <c r="DE25" i="24"/>
  <c r="CF26" i="24"/>
  <c r="DE26" i="24"/>
  <c r="CF57" i="24"/>
  <c r="DE57" i="24"/>
  <c r="CF55" i="24"/>
  <c r="DE55" i="24"/>
  <c r="CF56" i="24"/>
  <c r="DE56" i="24"/>
  <c r="CG15" i="24"/>
  <c r="DF15" i="24"/>
  <c r="CG16" i="24"/>
  <c r="DF16" i="24"/>
  <c r="CG17" i="24"/>
  <c r="DF17" i="24"/>
  <c r="CG36" i="24"/>
  <c r="DF36" i="24"/>
  <c r="CG37" i="24"/>
  <c r="DF37" i="24"/>
  <c r="CG35" i="24"/>
  <c r="DF35" i="24"/>
  <c r="CG41" i="24"/>
  <c r="DF41" i="24"/>
  <c r="CG42" i="24"/>
  <c r="DF42" i="24"/>
  <c r="CG40" i="24"/>
  <c r="DF40" i="24"/>
  <c r="CF11" i="24"/>
  <c r="DE11" i="24"/>
  <c r="CF10" i="24"/>
  <c r="DE10" i="24"/>
  <c r="CF12" i="24"/>
  <c r="DE12" i="24"/>
  <c r="CG32" i="24"/>
  <c r="DF32" i="24"/>
  <c r="CG31" i="24"/>
  <c r="DF31" i="24"/>
  <c r="CG30" i="24"/>
  <c r="DF30" i="24"/>
  <c r="CF47" i="24"/>
  <c r="DE47" i="24"/>
  <c r="CF45" i="24"/>
  <c r="DE45" i="24"/>
  <c r="CF46" i="24"/>
  <c r="DE46" i="24"/>
  <c r="F26" i="5"/>
  <c r="AD23" i="24"/>
  <c r="AC23" i="24"/>
  <c r="AD53" i="24"/>
  <c r="AC53" i="24"/>
  <c r="AD63" i="24"/>
  <c r="AC63" i="24"/>
  <c r="AB28" i="24"/>
  <c r="M25" i="5"/>
  <c r="AB58" i="24"/>
  <c r="CG6" i="24"/>
  <c r="DF6" i="24"/>
  <c r="CG7" i="24"/>
  <c r="DF7" i="24"/>
  <c r="CG5" i="24"/>
  <c r="DF5" i="24"/>
  <c r="C26" i="5"/>
  <c r="AC8" i="24"/>
  <c r="AD18" i="24"/>
  <c r="AC18" i="24"/>
  <c r="AD38" i="24"/>
  <c r="AC38" i="24"/>
  <c r="J26" i="5"/>
  <c r="AD43" i="24"/>
  <c r="AC43" i="24"/>
  <c r="D25" i="5"/>
  <c r="AB13" i="24"/>
  <c r="H26" i="5"/>
  <c r="AD33" i="24"/>
  <c r="AC33" i="24"/>
  <c r="K25" i="5"/>
  <c r="AB48" i="24"/>
  <c r="CL27" i="24"/>
  <c r="DK27" i="24"/>
  <c r="CL6" i="24"/>
  <c r="DK6" i="24"/>
  <c r="CL7" i="24"/>
  <c r="DK7" i="24"/>
  <c r="CL5" i="24"/>
  <c r="DK5" i="24"/>
  <c r="CK27" i="24"/>
  <c r="DJ27" i="24"/>
  <c r="CK25" i="24"/>
  <c r="DJ25" i="24"/>
  <c r="CK26" i="24"/>
  <c r="DJ26" i="24"/>
  <c r="CK52" i="24"/>
  <c r="DJ52" i="24"/>
  <c r="CK50" i="24"/>
  <c r="DJ50" i="24"/>
  <c r="CK51" i="24"/>
  <c r="DJ51" i="24"/>
  <c r="CK17" i="24"/>
  <c r="DJ17" i="24"/>
  <c r="CK15" i="24"/>
  <c r="DJ15" i="24"/>
  <c r="CK16" i="24"/>
  <c r="DJ16" i="24"/>
  <c r="CK37" i="24"/>
  <c r="DJ37" i="24"/>
  <c r="CK35" i="24"/>
  <c r="DJ35" i="24"/>
  <c r="CK36" i="24"/>
  <c r="DJ36" i="24"/>
  <c r="CK56" i="24"/>
  <c r="DJ56" i="24"/>
  <c r="CK57" i="24"/>
  <c r="DJ57" i="24"/>
  <c r="CK55" i="24"/>
  <c r="DJ55" i="24"/>
  <c r="CK12" i="24"/>
  <c r="DJ12" i="24"/>
  <c r="CK10" i="24"/>
  <c r="DJ10" i="24"/>
  <c r="CK11" i="24"/>
  <c r="DJ11" i="24"/>
  <c r="CK30" i="24"/>
  <c r="DJ30" i="24"/>
  <c r="CK32" i="24"/>
  <c r="DJ32" i="24"/>
  <c r="CK31" i="24"/>
  <c r="DJ31" i="24"/>
  <c r="CK62" i="24"/>
  <c r="DJ62" i="24"/>
  <c r="CK60" i="24"/>
  <c r="DJ60" i="24"/>
  <c r="CK61" i="24"/>
  <c r="DJ61" i="24"/>
  <c r="CJ46" i="24"/>
  <c r="DI46" i="24"/>
  <c r="CJ47" i="24"/>
  <c r="DI47" i="24"/>
  <c r="CJ45" i="24"/>
  <c r="DI45" i="24"/>
  <c r="CK20" i="24"/>
  <c r="DJ20" i="24"/>
  <c r="CK21" i="24"/>
  <c r="DJ21" i="24"/>
  <c r="CK22" i="24"/>
  <c r="DJ22" i="24"/>
  <c r="CL47" i="24"/>
  <c r="DK47" i="24"/>
  <c r="CL45" i="24"/>
  <c r="DK45" i="24"/>
  <c r="CL46" i="24"/>
  <c r="DK46" i="24"/>
  <c r="J41" i="5"/>
  <c r="AH43" i="24"/>
  <c r="CJ27" i="24"/>
  <c r="DI27" i="24"/>
  <c r="CJ25" i="24"/>
  <c r="DI25" i="24"/>
  <c r="CJ26" i="24"/>
  <c r="DI26" i="24"/>
  <c r="CJ51" i="24"/>
  <c r="DI51" i="24"/>
  <c r="CJ52" i="24"/>
  <c r="DI52" i="24"/>
  <c r="CJ50" i="24"/>
  <c r="DI50" i="24"/>
  <c r="CJ17" i="24"/>
  <c r="DI17" i="24"/>
  <c r="CJ15" i="24"/>
  <c r="DI15" i="24"/>
  <c r="CJ16" i="24"/>
  <c r="DI16" i="24"/>
  <c r="CJ37" i="24"/>
  <c r="DI37" i="24"/>
  <c r="CJ35" i="24"/>
  <c r="DI35" i="24"/>
  <c r="CJ36" i="24"/>
  <c r="DI36" i="24"/>
  <c r="CJ56" i="24"/>
  <c r="DI56" i="24"/>
  <c r="CJ57" i="24"/>
  <c r="DI57" i="24"/>
  <c r="CJ55" i="24"/>
  <c r="DI55" i="24"/>
  <c r="CJ12" i="24"/>
  <c r="DI12" i="24"/>
  <c r="CJ10" i="24"/>
  <c r="DI10" i="24"/>
  <c r="CJ11" i="24"/>
  <c r="DI11" i="24"/>
  <c r="CJ32" i="24"/>
  <c r="DI32" i="24"/>
  <c r="CJ30" i="24"/>
  <c r="DI30" i="24"/>
  <c r="CJ31" i="24"/>
  <c r="DI31" i="24"/>
  <c r="CJ62" i="24"/>
  <c r="DI62" i="24"/>
  <c r="CJ60" i="24"/>
  <c r="DI60" i="24"/>
  <c r="CJ61" i="24"/>
  <c r="DI61" i="24"/>
  <c r="CK46" i="24"/>
  <c r="DJ46" i="24"/>
  <c r="CK47" i="24"/>
  <c r="DJ47" i="24"/>
  <c r="CK45" i="24"/>
  <c r="DJ45" i="24"/>
  <c r="CJ22" i="24"/>
  <c r="DI22" i="24"/>
  <c r="CJ20" i="24"/>
  <c r="DI20" i="24"/>
  <c r="CJ21" i="24"/>
  <c r="DI21" i="24"/>
  <c r="AB4" i="19"/>
  <c r="AA4" i="19"/>
  <c r="S52" i="8"/>
  <c r="W30" i="5"/>
  <c r="AC4" i="18"/>
  <c r="AB4" i="18"/>
  <c r="AA4" i="18"/>
  <c r="R30" i="5"/>
  <c r="AC4" i="14"/>
  <c r="AB4" i="14"/>
  <c r="AA4" i="14"/>
  <c r="V30" i="5"/>
  <c r="AC4" i="12"/>
  <c r="AB4" i="12"/>
  <c r="AA4" i="12"/>
  <c r="O39" i="5"/>
  <c r="H49" i="5"/>
  <c r="F29" i="5"/>
  <c r="AB4" i="16"/>
  <c r="AA4" i="16"/>
  <c r="T50" i="5"/>
  <c r="U30" i="5"/>
  <c r="AC4" i="17"/>
  <c r="AB4" i="17"/>
  <c r="AA4" i="17"/>
  <c r="AB30" i="5"/>
  <c r="AC4" i="23"/>
  <c r="AB4" i="23"/>
  <c r="AA4" i="23"/>
  <c r="S30" i="5"/>
  <c r="AC4" i="15"/>
  <c r="AB4" i="15"/>
  <c r="AA4" i="15"/>
  <c r="AA30" i="5"/>
  <c r="AC4" i="22"/>
  <c r="AB4" i="22"/>
  <c r="AA4" i="22"/>
  <c r="T30" i="5"/>
  <c r="AC4" i="16"/>
  <c r="Z30" i="5"/>
  <c r="AC4" i="21"/>
  <c r="AB4" i="21"/>
  <c r="AA4" i="21"/>
  <c r="R41" i="5"/>
  <c r="N51" i="5"/>
  <c r="C30" i="5"/>
  <c r="AH8" i="24"/>
  <c r="T49" i="5"/>
  <c r="G40" i="5"/>
  <c r="E50" i="5"/>
  <c r="K30" i="5"/>
  <c r="K40" i="5"/>
  <c r="L29" i="5"/>
  <c r="AG53" i="24"/>
  <c r="D29" i="5"/>
  <c r="AG13" i="24"/>
  <c r="H29" i="5"/>
  <c r="AG33" i="24"/>
  <c r="E29" i="5"/>
  <c r="AG18" i="24"/>
  <c r="AG38" i="24"/>
  <c r="AG58" i="24"/>
  <c r="K1" i="6"/>
  <c r="C21" i="23"/>
  <c r="C21" i="22"/>
  <c r="C21" i="21"/>
  <c r="C22" i="20"/>
  <c r="C21" i="14"/>
  <c r="C21" i="19"/>
  <c r="C21" i="18"/>
  <c r="C21" i="17"/>
  <c r="C21" i="16"/>
  <c r="C21" i="15"/>
  <c r="C21" i="13"/>
  <c r="J8" i="20"/>
  <c r="K5" i="20"/>
  <c r="C21" i="12"/>
  <c r="H55" i="8"/>
  <c r="DI65" i="24"/>
  <c r="DJ66" i="24"/>
  <c r="DJ67" i="24"/>
  <c r="DE67" i="24"/>
  <c r="DE66" i="24"/>
  <c r="DI66" i="24"/>
  <c r="DI67" i="24"/>
  <c r="DJ65" i="24"/>
  <c r="DE65" i="24"/>
  <c r="CL26" i="24"/>
  <c r="DK26" i="24"/>
  <c r="G30" i="5"/>
  <c r="K26" i="5"/>
  <c r="AD48" i="24"/>
  <c r="AC48" i="24"/>
  <c r="CI32" i="24"/>
  <c r="DH32" i="24"/>
  <c r="CI30" i="24"/>
  <c r="DH30" i="24"/>
  <c r="CI31" i="24"/>
  <c r="DH31" i="24"/>
  <c r="D26" i="5"/>
  <c r="AD13" i="24"/>
  <c r="AC13" i="24"/>
  <c r="CI42" i="24"/>
  <c r="DH42" i="24"/>
  <c r="CI40" i="24"/>
  <c r="DH40" i="24"/>
  <c r="CI41" i="24"/>
  <c r="DH41" i="24"/>
  <c r="CI36" i="24"/>
  <c r="DH36" i="24"/>
  <c r="CI37" i="24"/>
  <c r="DH37" i="24"/>
  <c r="CI35" i="24"/>
  <c r="DH35" i="24"/>
  <c r="CI16" i="24"/>
  <c r="DH16" i="24"/>
  <c r="CI17" i="24"/>
  <c r="DH17" i="24"/>
  <c r="CI15" i="24"/>
  <c r="DH15" i="24"/>
  <c r="O25" i="5"/>
  <c r="AC25" i="5"/>
  <c r="M26" i="5"/>
  <c r="AD58" i="24"/>
  <c r="AC58" i="24"/>
  <c r="AD28" i="24"/>
  <c r="AC28" i="24"/>
  <c r="CI60" i="24"/>
  <c r="DH60" i="24"/>
  <c r="CI61" i="24"/>
  <c r="DH61" i="24"/>
  <c r="CI62" i="24"/>
  <c r="DH62" i="24"/>
  <c r="CI51" i="24"/>
  <c r="DH51" i="24"/>
  <c r="CI52" i="24"/>
  <c r="DH52" i="24"/>
  <c r="CI50" i="24"/>
  <c r="DH50" i="24"/>
  <c r="CI22" i="24"/>
  <c r="DH22" i="24"/>
  <c r="CI20" i="24"/>
  <c r="DH20" i="24"/>
  <c r="CI21" i="24"/>
  <c r="DH21" i="24"/>
  <c r="CG46" i="24"/>
  <c r="DF46" i="24"/>
  <c r="CG47" i="24"/>
  <c r="DF47" i="24"/>
  <c r="CG45" i="24"/>
  <c r="DF45" i="24"/>
  <c r="CH31" i="24"/>
  <c r="DG31" i="24"/>
  <c r="CH32" i="24"/>
  <c r="DG32" i="24"/>
  <c r="CH30" i="24"/>
  <c r="DG30" i="24"/>
  <c r="CG12" i="24"/>
  <c r="DF12" i="24"/>
  <c r="CG10" i="24"/>
  <c r="DF10" i="24"/>
  <c r="CG11" i="24"/>
  <c r="DF11" i="24"/>
  <c r="CH42" i="24"/>
  <c r="DG42" i="24"/>
  <c r="CH40" i="24"/>
  <c r="DG40" i="24"/>
  <c r="CH41" i="24"/>
  <c r="DG41" i="24"/>
  <c r="CH37" i="24"/>
  <c r="DG37" i="24"/>
  <c r="CH35" i="24"/>
  <c r="DG35" i="24"/>
  <c r="CH36" i="24"/>
  <c r="DG36" i="24"/>
  <c r="CH17" i="24"/>
  <c r="DG17" i="24"/>
  <c r="CH15" i="24"/>
  <c r="DG15" i="24"/>
  <c r="CH16" i="24"/>
  <c r="DG16" i="24"/>
  <c r="CH6" i="24"/>
  <c r="DG6" i="24"/>
  <c r="CH5" i="24"/>
  <c r="DG5" i="24"/>
  <c r="CH7" i="24"/>
  <c r="DG7" i="24"/>
  <c r="O26" i="5"/>
  <c r="AC26" i="5"/>
  <c r="AD8" i="24"/>
  <c r="CG57" i="24"/>
  <c r="DF57" i="24"/>
  <c r="CG56" i="24"/>
  <c r="DF56" i="24"/>
  <c r="CG55" i="24"/>
  <c r="DF55" i="24"/>
  <c r="CG27" i="24"/>
  <c r="DF27" i="24"/>
  <c r="CG26" i="24"/>
  <c r="DF26" i="24"/>
  <c r="CG25" i="24"/>
  <c r="DF25" i="24"/>
  <c r="CH61" i="24"/>
  <c r="DG61" i="24"/>
  <c r="CH60" i="24"/>
  <c r="DG60" i="24"/>
  <c r="CH62" i="24"/>
  <c r="DG62" i="24"/>
  <c r="CH52" i="24"/>
  <c r="DG52" i="24"/>
  <c r="CH50" i="24"/>
  <c r="DG50" i="24"/>
  <c r="CH51" i="24"/>
  <c r="DG51" i="24"/>
  <c r="CH21" i="24"/>
  <c r="DG21" i="24"/>
  <c r="CH22" i="24"/>
  <c r="DG22" i="24"/>
  <c r="CH20" i="24"/>
  <c r="DG20" i="24"/>
  <c r="CL37" i="24"/>
  <c r="DK37" i="24"/>
  <c r="CL35" i="24"/>
  <c r="DK35" i="24"/>
  <c r="CL36" i="24"/>
  <c r="DK36" i="24"/>
  <c r="CL31" i="24"/>
  <c r="DK31" i="24"/>
  <c r="CL32" i="24"/>
  <c r="DK32" i="24"/>
  <c r="CL30" i="24"/>
  <c r="DK30" i="24"/>
  <c r="CM6" i="24"/>
  <c r="DL6" i="24"/>
  <c r="CM7" i="24"/>
  <c r="DL7" i="24"/>
  <c r="CM5" i="24"/>
  <c r="DL5" i="24"/>
  <c r="CL57" i="24"/>
  <c r="DK57" i="24"/>
  <c r="CL55" i="24"/>
  <c r="DK55" i="24"/>
  <c r="CL56" i="24"/>
  <c r="DK56" i="24"/>
  <c r="CL17" i="24"/>
  <c r="DK17" i="24"/>
  <c r="CL15" i="24"/>
  <c r="DK15" i="24"/>
  <c r="CL16" i="24"/>
  <c r="DK16" i="24"/>
  <c r="CL11" i="24"/>
  <c r="DK11" i="24"/>
  <c r="CL12" i="24"/>
  <c r="DK12" i="24"/>
  <c r="CL10" i="24"/>
  <c r="DK10" i="24"/>
  <c r="N40" i="5"/>
  <c r="L50" i="5"/>
  <c r="AG63" i="24"/>
  <c r="F40" i="5"/>
  <c r="C50" i="5"/>
  <c r="AG23" i="24"/>
  <c r="CL51" i="24"/>
  <c r="DK51" i="24"/>
  <c r="CL52" i="24"/>
  <c r="DK52" i="24"/>
  <c r="CL50" i="24"/>
  <c r="DK50" i="24"/>
  <c r="K41" i="5"/>
  <c r="AH48" i="24"/>
  <c r="G41" i="5"/>
  <c r="E51" i="5"/>
  <c r="AH28" i="24"/>
  <c r="CM42" i="24"/>
  <c r="DL42" i="24"/>
  <c r="CM40" i="24"/>
  <c r="DL40" i="24"/>
  <c r="CM41" i="24"/>
  <c r="DL41" i="24"/>
  <c r="O29" i="5"/>
  <c r="AC29" i="5"/>
  <c r="F30" i="5"/>
  <c r="T52" i="8"/>
  <c r="H95" i="8"/>
  <c r="S49" i="5"/>
  <c r="U49" i="5"/>
  <c r="C41" i="5"/>
  <c r="J51" i="5"/>
  <c r="X49" i="5"/>
  <c r="Q39" i="5"/>
  <c r="O49" i="5"/>
  <c r="T51" i="5"/>
  <c r="S50" i="5"/>
  <c r="U50" i="5"/>
  <c r="G95" i="8"/>
  <c r="M40" i="5"/>
  <c r="M50" i="5"/>
  <c r="E40" i="5"/>
  <c r="K50" i="5"/>
  <c r="E30" i="5"/>
  <c r="D30" i="5"/>
  <c r="D40" i="5"/>
  <c r="H50" i="5"/>
  <c r="L30" i="5"/>
  <c r="L40" i="5"/>
  <c r="I50" i="5"/>
  <c r="I40" i="5"/>
  <c r="F50" i="5"/>
  <c r="H30" i="5"/>
  <c r="H40" i="5"/>
  <c r="G50" i="5"/>
  <c r="L1" i="6"/>
  <c r="C16" i="20"/>
  <c r="C20" i="21"/>
  <c r="C22" i="21"/>
  <c r="C20" i="23"/>
  <c r="C22" i="23"/>
  <c r="C20" i="22"/>
  <c r="C22" i="22"/>
  <c r="C20" i="19"/>
  <c r="C22" i="19"/>
  <c r="C20" i="18"/>
  <c r="C22" i="18"/>
  <c r="C20" i="17"/>
  <c r="C22" i="17"/>
  <c r="C20" i="16"/>
  <c r="C22" i="16"/>
  <c r="C20" i="15"/>
  <c r="C21" i="20"/>
  <c r="C23" i="20"/>
  <c r="C20" i="14"/>
  <c r="C22" i="14"/>
  <c r="C20" i="13"/>
  <c r="C22" i="13"/>
  <c r="C22" i="15"/>
  <c r="K8" i="20"/>
  <c r="L5" i="20"/>
  <c r="C20" i="12"/>
  <c r="I55" i="8"/>
  <c r="DE68" i="24"/>
  <c r="DI69" i="24"/>
  <c r="DJ68" i="24"/>
  <c r="DI68" i="24"/>
  <c r="DF66" i="24"/>
  <c r="DF67" i="24"/>
  <c r="DF65" i="24"/>
  <c r="D50" i="5"/>
  <c r="CI27" i="24"/>
  <c r="DH27" i="24"/>
  <c r="CI25" i="24"/>
  <c r="DH25" i="24"/>
  <c r="CI26" i="24"/>
  <c r="DH26" i="24"/>
  <c r="CI55" i="24"/>
  <c r="DH55" i="24"/>
  <c r="CI57" i="24"/>
  <c r="DH57" i="24"/>
  <c r="CI56" i="24"/>
  <c r="DH56" i="24"/>
  <c r="CI12" i="24"/>
  <c r="DH12" i="24"/>
  <c r="CI11" i="24"/>
  <c r="DH11" i="24"/>
  <c r="CI10" i="24"/>
  <c r="DH10" i="24"/>
  <c r="CH46" i="24"/>
  <c r="DG46" i="24"/>
  <c r="CH45" i="24"/>
  <c r="DG45" i="24"/>
  <c r="CH47" i="24"/>
  <c r="DG47" i="24"/>
  <c r="CI5" i="24"/>
  <c r="DH5" i="24"/>
  <c r="CI7" i="24"/>
  <c r="DH7" i="24"/>
  <c r="CI6" i="24"/>
  <c r="DH6" i="24"/>
  <c r="CH27" i="24"/>
  <c r="DG27" i="24"/>
  <c r="CH25" i="24"/>
  <c r="DG25" i="24"/>
  <c r="CH26" i="24"/>
  <c r="DG26" i="24"/>
  <c r="CH57" i="24"/>
  <c r="DG57" i="24"/>
  <c r="CH55" i="24"/>
  <c r="DG55" i="24"/>
  <c r="CH56" i="24"/>
  <c r="DG56" i="24"/>
  <c r="CH11" i="24"/>
  <c r="DG11" i="24"/>
  <c r="CH12" i="24"/>
  <c r="DG12" i="24"/>
  <c r="CH10" i="24"/>
  <c r="DG10" i="24"/>
  <c r="CI46" i="24"/>
  <c r="DH46" i="24"/>
  <c r="CI45" i="24"/>
  <c r="DH45" i="24"/>
  <c r="CI47" i="24"/>
  <c r="DH47" i="24"/>
  <c r="D41" i="5"/>
  <c r="H51" i="5"/>
  <c r="AH13" i="24"/>
  <c r="F41" i="5"/>
  <c r="C51" i="5"/>
  <c r="AH23" i="24"/>
  <c r="I41" i="5"/>
  <c r="F51" i="5"/>
  <c r="AH38" i="24"/>
  <c r="E41" i="5"/>
  <c r="AH18" i="24"/>
  <c r="M41" i="5"/>
  <c r="M51" i="5"/>
  <c r="AH58" i="24"/>
  <c r="N41" i="5"/>
  <c r="L51" i="5"/>
  <c r="AH63" i="24"/>
  <c r="CL22" i="24"/>
  <c r="DK22" i="24"/>
  <c r="CL20" i="24"/>
  <c r="DK20" i="24"/>
  <c r="CL21" i="24"/>
  <c r="DK21" i="24"/>
  <c r="CL61" i="24"/>
  <c r="DK61" i="24"/>
  <c r="CL62" i="24"/>
  <c r="DK62" i="24"/>
  <c r="CL60" i="24"/>
  <c r="DK60" i="24"/>
  <c r="H41" i="5"/>
  <c r="G51" i="5"/>
  <c r="AH33" i="24"/>
  <c r="L41" i="5"/>
  <c r="I51" i="5"/>
  <c r="AH53" i="24"/>
  <c r="CM26" i="24"/>
  <c r="DL26" i="24"/>
  <c r="CM27" i="24"/>
  <c r="DL27" i="24"/>
  <c r="CM25" i="24"/>
  <c r="DL25" i="24"/>
  <c r="CM47" i="24"/>
  <c r="DL47" i="24"/>
  <c r="CM46" i="24"/>
  <c r="DL46" i="24"/>
  <c r="CM45" i="24"/>
  <c r="DL45" i="24"/>
  <c r="U52" i="8"/>
  <c r="S51" i="5"/>
  <c r="U51" i="5"/>
  <c r="W49" i="5"/>
  <c r="O30" i="5"/>
  <c r="AC30" i="5"/>
  <c r="Y49" i="5"/>
  <c r="O41" i="5"/>
  <c r="O40" i="5"/>
  <c r="M1" i="6"/>
  <c r="C13" i="23"/>
  <c r="C13" i="22"/>
  <c r="C13" i="21"/>
  <c r="C18" i="20"/>
  <c r="D18" i="20"/>
  <c r="D16" i="20"/>
  <c r="C14" i="20"/>
  <c r="D14" i="20"/>
  <c r="C17" i="20"/>
  <c r="D17" i="20"/>
  <c r="C15" i="20"/>
  <c r="D15" i="20"/>
  <c r="C13" i="20"/>
  <c r="C13" i="14"/>
  <c r="C13" i="19"/>
  <c r="C13" i="18"/>
  <c r="C13" i="17"/>
  <c r="C13" i="16"/>
  <c r="C13" i="15"/>
  <c r="C13" i="13"/>
  <c r="D36" i="12"/>
  <c r="L8" i="20"/>
  <c r="M5" i="20"/>
  <c r="C13" i="12"/>
  <c r="J55" i="8"/>
  <c r="DK66" i="24"/>
  <c r="DF68" i="24"/>
  <c r="DK67" i="24"/>
  <c r="DG65" i="24"/>
  <c r="DK65" i="24"/>
  <c r="DG67" i="24"/>
  <c r="DG66" i="24"/>
  <c r="DH65" i="24"/>
  <c r="DH66" i="24"/>
  <c r="DH67" i="24"/>
  <c r="D51" i="5"/>
  <c r="K51" i="5"/>
  <c r="CM51" i="24"/>
  <c r="DL51" i="24"/>
  <c r="CM52" i="24"/>
  <c r="DL52" i="24"/>
  <c r="CM50" i="24"/>
  <c r="DL50" i="24"/>
  <c r="CM32" i="24"/>
  <c r="DL32" i="24"/>
  <c r="CM30" i="24"/>
  <c r="DL30" i="24"/>
  <c r="CM31" i="24"/>
  <c r="DL31" i="24"/>
  <c r="CM60" i="24"/>
  <c r="DL60" i="24"/>
  <c r="CM61" i="24"/>
  <c r="DL61" i="24"/>
  <c r="CM62" i="24"/>
  <c r="DL62" i="24"/>
  <c r="CM57" i="24"/>
  <c r="DL57" i="24"/>
  <c r="CM56" i="24"/>
  <c r="DL56" i="24"/>
  <c r="CM55" i="24"/>
  <c r="DL55" i="24"/>
  <c r="CM16" i="24"/>
  <c r="DL16" i="24"/>
  <c r="CM17" i="24"/>
  <c r="DL17" i="24"/>
  <c r="CM15" i="24"/>
  <c r="DL15" i="24"/>
  <c r="CM37" i="24"/>
  <c r="DL37" i="24"/>
  <c r="CM35" i="24"/>
  <c r="DL35" i="24"/>
  <c r="CM36" i="24"/>
  <c r="DL36" i="24"/>
  <c r="CM22" i="24"/>
  <c r="DL22" i="24"/>
  <c r="CM20" i="24"/>
  <c r="DL20" i="24"/>
  <c r="CM21" i="24"/>
  <c r="DL21" i="24"/>
  <c r="CM12" i="24"/>
  <c r="DL12" i="24"/>
  <c r="CM10" i="24"/>
  <c r="DL10" i="24"/>
  <c r="CM11" i="24"/>
  <c r="DL11" i="24"/>
  <c r="V52" i="8"/>
  <c r="J95" i="8"/>
  <c r="X50" i="5"/>
  <c r="Q40" i="5"/>
  <c r="O50" i="5"/>
  <c r="X51" i="5"/>
  <c r="Y51" i="5"/>
  <c r="Q41" i="5"/>
  <c r="O51" i="5"/>
  <c r="I95" i="8"/>
  <c r="C18" i="13"/>
  <c r="D13" i="13"/>
  <c r="C18" i="16"/>
  <c r="D13" i="16"/>
  <c r="C18" i="18"/>
  <c r="D13" i="18"/>
  <c r="C18" i="14"/>
  <c r="D13" i="14"/>
  <c r="E15" i="20"/>
  <c r="E14" i="20"/>
  <c r="E18" i="20"/>
  <c r="C18" i="22"/>
  <c r="D13" i="22"/>
  <c r="N1" i="6"/>
  <c r="O1" i="6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C18" i="15"/>
  <c r="D13" i="15"/>
  <c r="C18" i="17"/>
  <c r="D13" i="17"/>
  <c r="C18" i="19"/>
  <c r="D13" i="19"/>
  <c r="D13" i="20"/>
  <c r="C19" i="20"/>
  <c r="E17" i="20"/>
  <c r="E16" i="20"/>
  <c r="C18" i="21"/>
  <c r="D13" i="21"/>
  <c r="C18" i="23"/>
  <c r="D13" i="23"/>
  <c r="M8" i="20"/>
  <c r="N5" i="20"/>
  <c r="C18" i="12"/>
  <c r="D13" i="12"/>
  <c r="K55" i="8"/>
  <c r="DK68" i="24"/>
  <c r="DH68" i="24"/>
  <c r="DG68" i="24"/>
  <c r="DL65" i="24"/>
  <c r="DL66" i="24"/>
  <c r="DL67" i="24"/>
  <c r="W52" i="8"/>
  <c r="Y50" i="5"/>
  <c r="W50" i="5"/>
  <c r="W51" i="5"/>
  <c r="F17" i="20"/>
  <c r="E13" i="20"/>
  <c r="D19" i="20"/>
  <c r="D18" i="23"/>
  <c r="E13" i="23"/>
  <c r="D18" i="21"/>
  <c r="E13" i="21"/>
  <c r="F16" i="20"/>
  <c r="D18" i="19"/>
  <c r="E13" i="19"/>
  <c r="D18" i="17"/>
  <c r="E13" i="17"/>
  <c r="D18" i="15"/>
  <c r="E13" i="15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C5" i="14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AA10" i="16"/>
  <c r="AB10" i="16"/>
  <c r="AC10" i="16"/>
  <c r="C5" i="16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Y10" i="18"/>
  <c r="Z10" i="18"/>
  <c r="AA10" i="18"/>
  <c r="AB10" i="18"/>
  <c r="AC10" i="18"/>
  <c r="C5" i="18"/>
  <c r="D10" i="20"/>
  <c r="C9" i="20"/>
  <c r="C11" i="20"/>
  <c r="C20" i="20"/>
  <c r="C34" i="20"/>
  <c r="D10" i="22"/>
  <c r="E10" i="22"/>
  <c r="F10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S10" i="22"/>
  <c r="T10" i="22"/>
  <c r="U10" i="22"/>
  <c r="V10" i="22"/>
  <c r="W10" i="22"/>
  <c r="X10" i="22"/>
  <c r="Y10" i="22"/>
  <c r="Z10" i="22"/>
  <c r="AA10" i="22"/>
  <c r="AB10" i="22"/>
  <c r="AC10" i="22"/>
  <c r="C5" i="22"/>
  <c r="D18" i="22"/>
  <c r="E13" i="22"/>
  <c r="F18" i="20"/>
  <c r="F15" i="20"/>
  <c r="D18" i="14"/>
  <c r="E13" i="14"/>
  <c r="D18" i="16"/>
  <c r="E13" i="16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C5" i="13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V10" i="15"/>
  <c r="W10" i="15"/>
  <c r="X10" i="15"/>
  <c r="Y10" i="15"/>
  <c r="Z10" i="15"/>
  <c r="AA10" i="15"/>
  <c r="AB10" i="15"/>
  <c r="AC10" i="15"/>
  <c r="C5" i="15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C5" i="17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Y10" i="19"/>
  <c r="Z10" i="19"/>
  <c r="AA10" i="19"/>
  <c r="AB10" i="19"/>
  <c r="AC10" i="19"/>
  <c r="C5" i="19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W10" i="21"/>
  <c r="X10" i="21"/>
  <c r="Y10" i="21"/>
  <c r="Z10" i="21"/>
  <c r="AA10" i="21"/>
  <c r="AB10" i="21"/>
  <c r="AC10" i="21"/>
  <c r="C5" i="21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U10" i="23"/>
  <c r="V10" i="23"/>
  <c r="W10" i="23"/>
  <c r="X10" i="23"/>
  <c r="Y10" i="23"/>
  <c r="Z10" i="23"/>
  <c r="AA10" i="23"/>
  <c r="AB10" i="23"/>
  <c r="AC10" i="23"/>
  <c r="C5" i="23"/>
  <c r="F14" i="20"/>
  <c r="D18" i="18"/>
  <c r="E13" i="18"/>
  <c r="D18" i="13"/>
  <c r="E13" i="13"/>
  <c r="N8" i="20"/>
  <c r="O5" i="20"/>
  <c r="D18" i="12"/>
  <c r="E13" i="12"/>
  <c r="L55" i="8"/>
  <c r="DL68" i="24"/>
  <c r="X52" i="8"/>
  <c r="L95" i="8"/>
  <c r="K95" i="8"/>
  <c r="D34" i="20"/>
  <c r="E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U34" i="20"/>
  <c r="V34" i="20"/>
  <c r="W34" i="20"/>
  <c r="X34" i="20"/>
  <c r="Y34" i="20"/>
  <c r="Z34" i="20"/>
  <c r="AA34" i="20"/>
  <c r="AB34" i="20"/>
  <c r="AC34" i="20"/>
  <c r="D37" i="20"/>
  <c r="E18" i="21"/>
  <c r="F13" i="21"/>
  <c r="C8" i="23"/>
  <c r="C11" i="23"/>
  <c r="D5" i="23"/>
  <c r="C8" i="21"/>
  <c r="C11" i="21"/>
  <c r="D5" i="21"/>
  <c r="C8" i="19"/>
  <c r="C11" i="19"/>
  <c r="D5" i="19"/>
  <c r="C8" i="17"/>
  <c r="C11" i="17"/>
  <c r="D5" i="17"/>
  <c r="C8" i="15"/>
  <c r="C11" i="15"/>
  <c r="D5" i="15"/>
  <c r="C8" i="13"/>
  <c r="C11" i="13"/>
  <c r="D5" i="13"/>
  <c r="G18" i="20"/>
  <c r="F9" i="20"/>
  <c r="H9" i="20"/>
  <c r="C8" i="18"/>
  <c r="C11" i="18"/>
  <c r="D5" i="18"/>
  <c r="C8" i="16"/>
  <c r="C11" i="16"/>
  <c r="D5" i="16"/>
  <c r="C8" i="14"/>
  <c r="C11" i="14"/>
  <c r="D5" i="14"/>
  <c r="E18" i="15"/>
  <c r="F13" i="15"/>
  <c r="E18" i="17"/>
  <c r="F13" i="17"/>
  <c r="E18" i="19"/>
  <c r="F13" i="19"/>
  <c r="G16" i="20"/>
  <c r="F13" i="20"/>
  <c r="E19" i="20"/>
  <c r="F13" i="13"/>
  <c r="E18" i="13"/>
  <c r="E18" i="18"/>
  <c r="F13" i="18"/>
  <c r="G14" i="20"/>
  <c r="E18" i="16"/>
  <c r="F13" i="16"/>
  <c r="E18" i="14"/>
  <c r="F13" i="14"/>
  <c r="G15" i="20"/>
  <c r="E18" i="22"/>
  <c r="F13" i="22"/>
  <c r="C8" i="22"/>
  <c r="C11" i="22"/>
  <c r="D5" i="22"/>
  <c r="C28" i="20"/>
  <c r="C31" i="20"/>
  <c r="C26" i="20"/>
  <c r="C29" i="20"/>
  <c r="C27" i="20"/>
  <c r="C32" i="20"/>
  <c r="E10" i="20"/>
  <c r="D11" i="20"/>
  <c r="D20" i="20"/>
  <c r="F13" i="23"/>
  <c r="E18" i="23"/>
  <c r="G17" i="20"/>
  <c r="O8" i="20"/>
  <c r="P5" i="20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V7" i="12"/>
  <c r="W7" i="12"/>
  <c r="X7" i="12"/>
  <c r="Y7" i="12"/>
  <c r="Z7" i="12"/>
  <c r="AA7" i="12"/>
  <c r="AB7" i="12"/>
  <c r="AC7" i="12"/>
  <c r="F13" i="12"/>
  <c r="E18" i="12"/>
  <c r="M55" i="8"/>
  <c r="Y52" i="8"/>
  <c r="I9" i="20"/>
  <c r="D33" i="20"/>
  <c r="D35" i="20"/>
  <c r="H15" i="20"/>
  <c r="H17" i="20"/>
  <c r="F18" i="23"/>
  <c r="G13" i="23"/>
  <c r="F10" i="20"/>
  <c r="E11" i="20"/>
  <c r="E20" i="20"/>
  <c r="E33" i="20"/>
  <c r="C27" i="22"/>
  <c r="C30" i="22"/>
  <c r="C25" i="22"/>
  <c r="C26" i="22"/>
  <c r="C31" i="22"/>
  <c r="C28" i="22"/>
  <c r="C19" i="22"/>
  <c r="C33" i="22"/>
  <c r="D36" i="22"/>
  <c r="F18" i="14"/>
  <c r="G13" i="14"/>
  <c r="G13" i="16"/>
  <c r="F18" i="16"/>
  <c r="H14" i="20"/>
  <c r="F18" i="13"/>
  <c r="G13" i="13"/>
  <c r="H16" i="20"/>
  <c r="C27" i="14"/>
  <c r="C30" i="14"/>
  <c r="C26" i="14"/>
  <c r="C25" i="14"/>
  <c r="C28" i="14"/>
  <c r="C31" i="14"/>
  <c r="C19" i="14"/>
  <c r="C33" i="14"/>
  <c r="D36" i="14"/>
  <c r="C27" i="16"/>
  <c r="C30" i="16"/>
  <c r="C26" i="16"/>
  <c r="C25" i="16"/>
  <c r="C28" i="16"/>
  <c r="C31" i="16"/>
  <c r="C19" i="16"/>
  <c r="C33" i="16"/>
  <c r="D36" i="16"/>
  <c r="C27" i="18"/>
  <c r="C30" i="18"/>
  <c r="C26" i="18"/>
  <c r="C25" i="18"/>
  <c r="C31" i="18"/>
  <c r="C28" i="18"/>
  <c r="C19" i="18"/>
  <c r="C33" i="18"/>
  <c r="D36" i="18"/>
  <c r="D8" i="13"/>
  <c r="D11" i="13"/>
  <c r="D19" i="13"/>
  <c r="D32" i="13"/>
  <c r="D34" i="13"/>
  <c r="E5" i="13"/>
  <c r="D8" i="15"/>
  <c r="D11" i="15"/>
  <c r="D19" i="15"/>
  <c r="D32" i="15"/>
  <c r="D34" i="15"/>
  <c r="E5" i="15"/>
  <c r="D8" i="17"/>
  <c r="D11" i="17"/>
  <c r="D19" i="17"/>
  <c r="D32" i="17"/>
  <c r="D34" i="17"/>
  <c r="E5" i="17"/>
  <c r="D8" i="19"/>
  <c r="D11" i="19"/>
  <c r="D19" i="19"/>
  <c r="D32" i="19"/>
  <c r="D34" i="19"/>
  <c r="E5" i="19"/>
  <c r="D8" i="21"/>
  <c r="D11" i="21"/>
  <c r="D19" i="21"/>
  <c r="D32" i="21"/>
  <c r="D34" i="21"/>
  <c r="E5" i="21"/>
  <c r="D8" i="23"/>
  <c r="D11" i="23"/>
  <c r="D19" i="23"/>
  <c r="D32" i="23"/>
  <c r="D34" i="23"/>
  <c r="E5" i="23"/>
  <c r="F18" i="21"/>
  <c r="G13" i="21"/>
  <c r="D8" i="22"/>
  <c r="D11" i="22"/>
  <c r="D19" i="22"/>
  <c r="D32" i="22"/>
  <c r="D34" i="22"/>
  <c r="E5" i="22"/>
  <c r="F18" i="22"/>
  <c r="G13" i="22"/>
  <c r="G13" i="18"/>
  <c r="F18" i="18"/>
  <c r="G13" i="20"/>
  <c r="F19" i="20"/>
  <c r="G13" i="19"/>
  <c r="F18" i="19"/>
  <c r="G13" i="17"/>
  <c r="F18" i="17"/>
  <c r="F18" i="15"/>
  <c r="G13" i="15"/>
  <c r="D8" i="14"/>
  <c r="D11" i="14"/>
  <c r="D19" i="14"/>
  <c r="D32" i="14"/>
  <c r="D34" i="14"/>
  <c r="E5" i="14"/>
  <c r="D8" i="16"/>
  <c r="D11" i="16"/>
  <c r="D19" i="16"/>
  <c r="D32" i="16"/>
  <c r="D34" i="16"/>
  <c r="E5" i="16"/>
  <c r="D8" i="18"/>
  <c r="D11" i="18"/>
  <c r="D19" i="18"/>
  <c r="D32" i="18"/>
  <c r="D34" i="18"/>
  <c r="E5" i="18"/>
  <c r="H18" i="20"/>
  <c r="C30" i="13"/>
  <c r="C27" i="13"/>
  <c r="C26" i="13"/>
  <c r="C25" i="13"/>
  <c r="C31" i="13"/>
  <c r="C28" i="13"/>
  <c r="C19" i="13"/>
  <c r="C33" i="13"/>
  <c r="D36" i="13"/>
  <c r="C27" i="15"/>
  <c r="C30" i="15"/>
  <c r="C25" i="15"/>
  <c r="C26" i="15"/>
  <c r="C28" i="15"/>
  <c r="C31" i="15"/>
  <c r="C19" i="15"/>
  <c r="C33" i="15"/>
  <c r="D36" i="15"/>
  <c r="C27" i="17"/>
  <c r="C30" i="17"/>
  <c r="C25" i="17"/>
  <c r="C26" i="17"/>
  <c r="C31" i="17"/>
  <c r="C28" i="17"/>
  <c r="C19" i="17"/>
  <c r="C33" i="17"/>
  <c r="D36" i="17"/>
  <c r="C27" i="19"/>
  <c r="C30" i="19"/>
  <c r="C25" i="19"/>
  <c r="C26" i="19"/>
  <c r="C28" i="19"/>
  <c r="C31" i="19"/>
  <c r="C19" i="19"/>
  <c r="C33" i="19"/>
  <c r="D36" i="19"/>
  <c r="C30" i="21"/>
  <c r="C27" i="21"/>
  <c r="C25" i="21"/>
  <c r="C26" i="21"/>
  <c r="C31" i="21"/>
  <c r="C28" i="21"/>
  <c r="C19" i="21"/>
  <c r="C33" i="21"/>
  <c r="D36" i="21"/>
  <c r="C30" i="23"/>
  <c r="C27" i="23"/>
  <c r="C25" i="23"/>
  <c r="C31" i="23"/>
  <c r="C28" i="23"/>
  <c r="C26" i="23"/>
  <c r="C19" i="23"/>
  <c r="C33" i="23"/>
  <c r="D36" i="23"/>
  <c r="P8" i="20"/>
  <c r="Q5" i="20"/>
  <c r="G13" i="12"/>
  <c r="F18" i="12"/>
  <c r="C57" i="8"/>
  <c r="Z52" i="8"/>
  <c r="N95" i="8"/>
  <c r="M95" i="8"/>
  <c r="E35" i="20"/>
  <c r="I18" i="20"/>
  <c r="G18" i="17"/>
  <c r="H13" i="17"/>
  <c r="G18" i="19"/>
  <c r="H13" i="19"/>
  <c r="H13" i="20"/>
  <c r="G19" i="20"/>
  <c r="H13" i="18"/>
  <c r="G18" i="18"/>
  <c r="I16" i="20"/>
  <c r="H13" i="14"/>
  <c r="G18" i="14"/>
  <c r="G10" i="20"/>
  <c r="F11" i="20"/>
  <c r="F20" i="20"/>
  <c r="F33" i="20"/>
  <c r="F35" i="20"/>
  <c r="I15" i="20"/>
  <c r="F5" i="18"/>
  <c r="E8" i="18"/>
  <c r="E11" i="18"/>
  <c r="E19" i="18"/>
  <c r="E32" i="18"/>
  <c r="E34" i="18"/>
  <c r="E8" i="16"/>
  <c r="E11" i="16"/>
  <c r="E19" i="16"/>
  <c r="E32" i="16"/>
  <c r="E34" i="16"/>
  <c r="F5" i="16"/>
  <c r="E8" i="14"/>
  <c r="E11" i="14"/>
  <c r="E19" i="14"/>
  <c r="E32" i="14"/>
  <c r="E34" i="14"/>
  <c r="F5" i="14"/>
  <c r="H13" i="15"/>
  <c r="G18" i="15"/>
  <c r="G18" i="22"/>
  <c r="H13" i="22"/>
  <c r="E8" i="22"/>
  <c r="E11" i="22"/>
  <c r="E19" i="22"/>
  <c r="E32" i="22"/>
  <c r="E34" i="22"/>
  <c r="F5" i="22"/>
  <c r="G18" i="21"/>
  <c r="H13" i="21"/>
  <c r="F5" i="23"/>
  <c r="E8" i="23"/>
  <c r="E11" i="23"/>
  <c r="E19" i="23"/>
  <c r="E32" i="23"/>
  <c r="E34" i="23"/>
  <c r="E8" i="21"/>
  <c r="E11" i="21"/>
  <c r="E19" i="21"/>
  <c r="E32" i="21"/>
  <c r="E34" i="21"/>
  <c r="F5" i="21"/>
  <c r="F5" i="19"/>
  <c r="E8" i="19"/>
  <c r="E11" i="19"/>
  <c r="E19" i="19"/>
  <c r="E32" i="19"/>
  <c r="E34" i="19"/>
  <c r="F5" i="17"/>
  <c r="E8" i="17"/>
  <c r="E11" i="17"/>
  <c r="E19" i="17"/>
  <c r="E32" i="17"/>
  <c r="E34" i="17"/>
  <c r="E8" i="15"/>
  <c r="E11" i="15"/>
  <c r="E19" i="15"/>
  <c r="E32" i="15"/>
  <c r="E34" i="15"/>
  <c r="F5" i="15"/>
  <c r="F5" i="13"/>
  <c r="E8" i="13"/>
  <c r="E11" i="13"/>
  <c r="E19" i="13"/>
  <c r="E32" i="13"/>
  <c r="E34" i="13"/>
  <c r="H13" i="13"/>
  <c r="G18" i="13"/>
  <c r="I14" i="20"/>
  <c r="H13" i="16"/>
  <c r="G18" i="16"/>
  <c r="H13" i="23"/>
  <c r="G18" i="23"/>
  <c r="I17" i="20"/>
  <c r="Q8" i="20"/>
  <c r="R5" i="20"/>
  <c r="G18" i="12"/>
  <c r="H13" i="12"/>
  <c r="C20" i="8"/>
  <c r="C34" i="8"/>
  <c r="C13" i="8"/>
  <c r="D57" i="8"/>
  <c r="C6" i="8"/>
  <c r="C76" i="8"/>
  <c r="C62" i="8"/>
  <c r="C83" i="8"/>
  <c r="C69" i="8"/>
  <c r="C27" i="8"/>
  <c r="C48" i="8"/>
  <c r="AA52" i="8"/>
  <c r="O80" i="8"/>
  <c r="C99" i="8"/>
  <c r="O73" i="8"/>
  <c r="C98" i="8"/>
  <c r="O66" i="8"/>
  <c r="C97" i="8"/>
  <c r="O59" i="8"/>
  <c r="C96" i="8"/>
  <c r="O45" i="8"/>
  <c r="C94" i="8"/>
  <c r="O31" i="8"/>
  <c r="C92" i="8"/>
  <c r="O24" i="8"/>
  <c r="C91" i="8"/>
  <c r="O17" i="8"/>
  <c r="C90" i="8"/>
  <c r="O10" i="8"/>
  <c r="C89" i="8"/>
  <c r="O3" i="8"/>
  <c r="J17" i="20"/>
  <c r="J14" i="20"/>
  <c r="I13" i="13"/>
  <c r="H18" i="13"/>
  <c r="F8" i="13"/>
  <c r="F11" i="13"/>
  <c r="F19" i="13"/>
  <c r="F32" i="13"/>
  <c r="F34" i="13"/>
  <c r="G5" i="13"/>
  <c r="F8" i="17"/>
  <c r="F11" i="17"/>
  <c r="F19" i="17"/>
  <c r="F32" i="17"/>
  <c r="F34" i="17"/>
  <c r="G5" i="17"/>
  <c r="F8" i="19"/>
  <c r="F11" i="19"/>
  <c r="F19" i="19"/>
  <c r="F32" i="19"/>
  <c r="F34" i="19"/>
  <c r="G5" i="19"/>
  <c r="F8" i="23"/>
  <c r="F11" i="23"/>
  <c r="F19" i="23"/>
  <c r="F32" i="23"/>
  <c r="F34" i="23"/>
  <c r="G5" i="23"/>
  <c r="H18" i="15"/>
  <c r="I13" i="15"/>
  <c r="G5" i="18"/>
  <c r="F8" i="18"/>
  <c r="F11" i="18"/>
  <c r="F19" i="18"/>
  <c r="F32" i="18"/>
  <c r="F34" i="18"/>
  <c r="J15" i="20"/>
  <c r="H10" i="20"/>
  <c r="G11" i="20"/>
  <c r="G20" i="20"/>
  <c r="G33" i="20"/>
  <c r="G35" i="20"/>
  <c r="I13" i="14"/>
  <c r="H18" i="14"/>
  <c r="I13" i="19"/>
  <c r="H18" i="19"/>
  <c r="H18" i="17"/>
  <c r="I13" i="17"/>
  <c r="J18" i="20"/>
  <c r="H18" i="23"/>
  <c r="I13" i="23"/>
  <c r="I13" i="16"/>
  <c r="H18" i="16"/>
  <c r="F8" i="15"/>
  <c r="F11" i="15"/>
  <c r="F19" i="15"/>
  <c r="F32" i="15"/>
  <c r="F34" i="15"/>
  <c r="G5" i="15"/>
  <c r="F8" i="21"/>
  <c r="F11" i="21"/>
  <c r="F19" i="21"/>
  <c r="F32" i="21"/>
  <c r="F34" i="21"/>
  <c r="G5" i="21"/>
  <c r="H18" i="21"/>
  <c r="I13" i="21"/>
  <c r="F8" i="22"/>
  <c r="F11" i="22"/>
  <c r="F19" i="22"/>
  <c r="F32" i="22"/>
  <c r="F34" i="22"/>
  <c r="G5" i="22"/>
  <c r="I13" i="22"/>
  <c r="H18" i="22"/>
  <c r="F8" i="14"/>
  <c r="F11" i="14"/>
  <c r="F19" i="14"/>
  <c r="F32" i="14"/>
  <c r="F34" i="14"/>
  <c r="G5" i="14"/>
  <c r="G5" i="16"/>
  <c r="F8" i="16"/>
  <c r="F11" i="16"/>
  <c r="F19" i="16"/>
  <c r="F32" i="16"/>
  <c r="F34" i="16"/>
  <c r="J16" i="20"/>
  <c r="I13" i="18"/>
  <c r="H18" i="18"/>
  <c r="H19" i="20"/>
  <c r="I13" i="20"/>
  <c r="R8" i="20"/>
  <c r="S5" i="20"/>
  <c r="I13" i="12"/>
  <c r="H18" i="12"/>
  <c r="D6" i="8"/>
  <c r="D48" i="8"/>
  <c r="D34" i="8"/>
  <c r="D83" i="8"/>
  <c r="D27" i="8"/>
  <c r="D69" i="8"/>
  <c r="D13" i="8"/>
  <c r="D20" i="8"/>
  <c r="E57" i="8"/>
  <c r="D76" i="8"/>
  <c r="D62" i="8"/>
  <c r="AB52" i="8"/>
  <c r="P95" i="8"/>
  <c r="O95" i="8"/>
  <c r="C88" i="8"/>
  <c r="P80" i="8"/>
  <c r="D99" i="8"/>
  <c r="P73" i="8"/>
  <c r="D98" i="8"/>
  <c r="P66" i="8"/>
  <c r="D97" i="8"/>
  <c r="P59" i="8"/>
  <c r="D96" i="8"/>
  <c r="P45" i="8"/>
  <c r="D94" i="8"/>
  <c r="P31" i="8"/>
  <c r="D92" i="8"/>
  <c r="P24" i="8"/>
  <c r="D91" i="8"/>
  <c r="P17" i="8"/>
  <c r="D90" i="8"/>
  <c r="P10" i="8"/>
  <c r="D89" i="8"/>
  <c r="P3" i="8"/>
  <c r="I19" i="20"/>
  <c r="J13" i="20"/>
  <c r="K16" i="20"/>
  <c r="H5" i="16"/>
  <c r="G8" i="16"/>
  <c r="G11" i="16"/>
  <c r="G19" i="16"/>
  <c r="G32" i="16"/>
  <c r="G34" i="16"/>
  <c r="I18" i="22"/>
  <c r="J13" i="22"/>
  <c r="I18" i="16"/>
  <c r="J13" i="16"/>
  <c r="I18" i="17"/>
  <c r="J13" i="17"/>
  <c r="K15" i="20"/>
  <c r="H5" i="18"/>
  <c r="G8" i="18"/>
  <c r="G11" i="18"/>
  <c r="G19" i="18"/>
  <c r="G32" i="18"/>
  <c r="G34" i="18"/>
  <c r="I18" i="13"/>
  <c r="J13" i="13"/>
  <c r="K17" i="20"/>
  <c r="I18" i="18"/>
  <c r="J13" i="18"/>
  <c r="H5" i="14"/>
  <c r="G8" i="14"/>
  <c r="G11" i="14"/>
  <c r="G19" i="14"/>
  <c r="G32" i="14"/>
  <c r="G34" i="14"/>
  <c r="G8" i="22"/>
  <c r="G11" i="22"/>
  <c r="G19" i="22"/>
  <c r="G32" i="22"/>
  <c r="G34" i="22"/>
  <c r="H5" i="22"/>
  <c r="I18" i="21"/>
  <c r="J13" i="21"/>
  <c r="G8" i="21"/>
  <c r="G11" i="21"/>
  <c r="G19" i="21"/>
  <c r="G32" i="21"/>
  <c r="G34" i="21"/>
  <c r="H5" i="21"/>
  <c r="H5" i="15"/>
  <c r="G8" i="15"/>
  <c r="G11" i="15"/>
  <c r="G19" i="15"/>
  <c r="G32" i="15"/>
  <c r="G34" i="15"/>
  <c r="J13" i="23"/>
  <c r="I18" i="23"/>
  <c r="K18" i="20"/>
  <c r="J13" i="19"/>
  <c r="I18" i="19"/>
  <c r="J13" i="14"/>
  <c r="I18" i="14"/>
  <c r="I10" i="20"/>
  <c r="H11" i="20"/>
  <c r="J13" i="15"/>
  <c r="I18" i="15"/>
  <c r="H5" i="23"/>
  <c r="G8" i="23"/>
  <c r="G11" i="23"/>
  <c r="G19" i="23"/>
  <c r="G32" i="23"/>
  <c r="G34" i="23"/>
  <c r="H5" i="19"/>
  <c r="G8" i="19"/>
  <c r="G11" i="19"/>
  <c r="G19" i="19"/>
  <c r="G32" i="19"/>
  <c r="G34" i="19"/>
  <c r="G8" i="17"/>
  <c r="G11" i="17"/>
  <c r="G19" i="17"/>
  <c r="G32" i="17"/>
  <c r="G34" i="17"/>
  <c r="H5" i="17"/>
  <c r="G8" i="13"/>
  <c r="G11" i="13"/>
  <c r="G19" i="13"/>
  <c r="G32" i="13"/>
  <c r="G34" i="13"/>
  <c r="H5" i="13"/>
  <c r="K14" i="20"/>
  <c r="H20" i="20"/>
  <c r="H33" i="20"/>
  <c r="H35" i="20"/>
  <c r="S8" i="20"/>
  <c r="T5" i="20"/>
  <c r="J13" i="12"/>
  <c r="I18" i="12"/>
  <c r="E76" i="8"/>
  <c r="E13" i="8"/>
  <c r="E27" i="8"/>
  <c r="E34" i="8"/>
  <c r="E62" i="8"/>
  <c r="F57" i="8"/>
  <c r="E48" i="8"/>
  <c r="E6" i="8"/>
  <c r="E83" i="8"/>
  <c r="E20" i="8"/>
  <c r="E69" i="8"/>
  <c r="AC52" i="8"/>
  <c r="D88" i="8"/>
  <c r="Q80" i="8"/>
  <c r="E99" i="8"/>
  <c r="Q73" i="8"/>
  <c r="E98" i="8"/>
  <c r="Q66" i="8"/>
  <c r="E97" i="8"/>
  <c r="Q59" i="8"/>
  <c r="E96" i="8"/>
  <c r="Q45" i="8"/>
  <c r="E94" i="8"/>
  <c r="Q31" i="8"/>
  <c r="E92" i="8"/>
  <c r="Q24" i="8"/>
  <c r="E91" i="8"/>
  <c r="Q17" i="8"/>
  <c r="E90" i="8"/>
  <c r="Q10" i="8"/>
  <c r="E89" i="8"/>
  <c r="Q3" i="8"/>
  <c r="L14" i="20"/>
  <c r="H8" i="13"/>
  <c r="H11" i="13"/>
  <c r="H19" i="13"/>
  <c r="H32" i="13"/>
  <c r="H34" i="13"/>
  <c r="I5" i="13"/>
  <c r="I5" i="17"/>
  <c r="H8" i="17"/>
  <c r="H11" i="17"/>
  <c r="H19" i="17"/>
  <c r="H32" i="17"/>
  <c r="H34" i="17"/>
  <c r="L18" i="20"/>
  <c r="J18" i="23"/>
  <c r="K13" i="23"/>
  <c r="I5" i="15"/>
  <c r="H8" i="15"/>
  <c r="H11" i="15"/>
  <c r="H19" i="15"/>
  <c r="H32" i="15"/>
  <c r="H34" i="15"/>
  <c r="H8" i="14"/>
  <c r="H11" i="14"/>
  <c r="H19" i="14"/>
  <c r="H32" i="14"/>
  <c r="H34" i="14"/>
  <c r="I5" i="14"/>
  <c r="L17" i="20"/>
  <c r="I5" i="18"/>
  <c r="H8" i="18"/>
  <c r="H11" i="18"/>
  <c r="H19" i="18"/>
  <c r="H32" i="18"/>
  <c r="H34" i="18"/>
  <c r="K13" i="17"/>
  <c r="J18" i="17"/>
  <c r="J18" i="16"/>
  <c r="K13" i="16"/>
  <c r="K13" i="22"/>
  <c r="J18" i="22"/>
  <c r="L16" i="20"/>
  <c r="H8" i="19"/>
  <c r="H11" i="19"/>
  <c r="H19" i="19"/>
  <c r="H32" i="19"/>
  <c r="H34" i="19"/>
  <c r="I5" i="19"/>
  <c r="H8" i="23"/>
  <c r="H11" i="23"/>
  <c r="H19" i="23"/>
  <c r="H32" i="23"/>
  <c r="H34" i="23"/>
  <c r="I5" i="23"/>
  <c r="K13" i="15"/>
  <c r="J18" i="15"/>
  <c r="J10" i="20"/>
  <c r="I11" i="20"/>
  <c r="I20" i="20"/>
  <c r="I33" i="20"/>
  <c r="I35" i="20"/>
  <c r="K13" i="14"/>
  <c r="J18" i="14"/>
  <c r="K13" i="19"/>
  <c r="J18" i="19"/>
  <c r="H8" i="21"/>
  <c r="H11" i="21"/>
  <c r="H19" i="21"/>
  <c r="H32" i="21"/>
  <c r="H34" i="21"/>
  <c r="I5" i="21"/>
  <c r="J18" i="21"/>
  <c r="K13" i="21"/>
  <c r="I5" i="22"/>
  <c r="H8" i="22"/>
  <c r="H11" i="22"/>
  <c r="H19" i="22"/>
  <c r="H32" i="22"/>
  <c r="H34" i="22"/>
  <c r="K13" i="18"/>
  <c r="J18" i="18"/>
  <c r="J18" i="13"/>
  <c r="K13" i="13"/>
  <c r="L15" i="20"/>
  <c r="H8" i="16"/>
  <c r="H11" i="16"/>
  <c r="H19" i="16"/>
  <c r="H32" i="16"/>
  <c r="H34" i="16"/>
  <c r="I5" i="16"/>
  <c r="J19" i="20"/>
  <c r="K13" i="20"/>
  <c r="T8" i="20"/>
  <c r="U5" i="20"/>
  <c r="K13" i="12"/>
  <c r="J18" i="12"/>
  <c r="F27" i="8"/>
  <c r="F34" i="8"/>
  <c r="F20" i="8"/>
  <c r="F62" i="8"/>
  <c r="F69" i="8"/>
  <c r="F48" i="8"/>
  <c r="F76" i="8"/>
  <c r="F6" i="8"/>
  <c r="F13" i="8"/>
  <c r="F83" i="8"/>
  <c r="G57" i="8"/>
  <c r="AD52" i="8"/>
  <c r="R95" i="8"/>
  <c r="Q95" i="8"/>
  <c r="E88" i="8"/>
  <c r="R80" i="8"/>
  <c r="F99" i="8"/>
  <c r="R73" i="8"/>
  <c r="F98" i="8"/>
  <c r="R66" i="8"/>
  <c r="F97" i="8"/>
  <c r="R59" i="8"/>
  <c r="F96" i="8"/>
  <c r="R45" i="8"/>
  <c r="F94" i="8"/>
  <c r="R31" i="8"/>
  <c r="F92" i="8"/>
  <c r="R24" i="8"/>
  <c r="F91" i="8"/>
  <c r="R17" i="8"/>
  <c r="F90" i="8"/>
  <c r="R10" i="8"/>
  <c r="F89" i="8"/>
  <c r="R3" i="8"/>
  <c r="K19" i="20"/>
  <c r="L13" i="20"/>
  <c r="J5" i="16"/>
  <c r="I8" i="16"/>
  <c r="I11" i="16"/>
  <c r="I19" i="16"/>
  <c r="I32" i="16"/>
  <c r="I34" i="16"/>
  <c r="M15" i="20"/>
  <c r="L13" i="18"/>
  <c r="K18" i="18"/>
  <c r="I8" i="22"/>
  <c r="I11" i="22"/>
  <c r="I19" i="22"/>
  <c r="I32" i="22"/>
  <c r="I34" i="22"/>
  <c r="J5" i="22"/>
  <c r="L13" i="19"/>
  <c r="K18" i="19"/>
  <c r="L13" i="14"/>
  <c r="K18" i="14"/>
  <c r="K10" i="20"/>
  <c r="J11" i="20"/>
  <c r="J20" i="20"/>
  <c r="J33" i="20"/>
  <c r="J35" i="20"/>
  <c r="L13" i="15"/>
  <c r="K18" i="15"/>
  <c r="L13" i="16"/>
  <c r="K18" i="16"/>
  <c r="M17" i="20"/>
  <c r="I8" i="15"/>
  <c r="I11" i="15"/>
  <c r="I19" i="15"/>
  <c r="I32" i="15"/>
  <c r="I34" i="15"/>
  <c r="J5" i="15"/>
  <c r="J5" i="13"/>
  <c r="I8" i="13"/>
  <c r="I11" i="13"/>
  <c r="I19" i="13"/>
  <c r="I32" i="13"/>
  <c r="I34" i="13"/>
  <c r="M14" i="20"/>
  <c r="K18" i="13"/>
  <c r="L13" i="13"/>
  <c r="K18" i="21"/>
  <c r="L13" i="21"/>
  <c r="I8" i="21"/>
  <c r="I11" i="21"/>
  <c r="I19" i="21"/>
  <c r="I32" i="21"/>
  <c r="I34" i="21"/>
  <c r="J5" i="21"/>
  <c r="J5" i="23"/>
  <c r="I8" i="23"/>
  <c r="I11" i="23"/>
  <c r="I19" i="23"/>
  <c r="I32" i="23"/>
  <c r="I34" i="23"/>
  <c r="I8" i="19"/>
  <c r="I11" i="19"/>
  <c r="I19" i="19"/>
  <c r="I32" i="19"/>
  <c r="I34" i="19"/>
  <c r="J5" i="19"/>
  <c r="M16" i="20"/>
  <c r="K18" i="22"/>
  <c r="L13" i="22"/>
  <c r="L13" i="17"/>
  <c r="K18" i="17"/>
  <c r="I8" i="18"/>
  <c r="I11" i="18"/>
  <c r="I19" i="18"/>
  <c r="I32" i="18"/>
  <c r="I34" i="18"/>
  <c r="J5" i="18"/>
  <c r="J5" i="14"/>
  <c r="I8" i="14"/>
  <c r="I11" i="14"/>
  <c r="I19" i="14"/>
  <c r="I32" i="14"/>
  <c r="I34" i="14"/>
  <c r="K18" i="23"/>
  <c r="L13" i="23"/>
  <c r="M18" i="20"/>
  <c r="I8" i="17"/>
  <c r="I11" i="17"/>
  <c r="I19" i="17"/>
  <c r="I32" i="17"/>
  <c r="I34" i="17"/>
  <c r="J5" i="17"/>
  <c r="U8" i="20"/>
  <c r="V5" i="20"/>
  <c r="L13" i="12"/>
  <c r="K18" i="12"/>
  <c r="G20" i="8"/>
  <c r="G76" i="8"/>
  <c r="G62" i="8"/>
  <c r="G13" i="8"/>
  <c r="G34" i="8"/>
  <c r="H57" i="8"/>
  <c r="G27" i="8"/>
  <c r="G6" i="8"/>
  <c r="G48" i="8"/>
  <c r="G69" i="8"/>
  <c r="G83" i="8"/>
  <c r="AE52" i="8"/>
  <c r="F88" i="8"/>
  <c r="S80" i="8"/>
  <c r="G99" i="8"/>
  <c r="S73" i="8"/>
  <c r="G98" i="8"/>
  <c r="S66" i="8"/>
  <c r="G97" i="8"/>
  <c r="S59" i="8"/>
  <c r="G96" i="8"/>
  <c r="S45" i="8"/>
  <c r="G94" i="8"/>
  <c r="S31" i="8"/>
  <c r="G92" i="8"/>
  <c r="S24" i="8"/>
  <c r="G91" i="8"/>
  <c r="S17" i="8"/>
  <c r="G90" i="8"/>
  <c r="S10" i="8"/>
  <c r="G89" i="8"/>
  <c r="S3" i="8"/>
  <c r="L18" i="23"/>
  <c r="M13" i="23"/>
  <c r="J8" i="17"/>
  <c r="J11" i="17"/>
  <c r="J19" i="17"/>
  <c r="J32" i="17"/>
  <c r="J34" i="17"/>
  <c r="K5" i="17"/>
  <c r="N18" i="20"/>
  <c r="K5" i="14"/>
  <c r="J8" i="14"/>
  <c r="J11" i="14"/>
  <c r="J19" i="14"/>
  <c r="J32" i="14"/>
  <c r="J34" i="14"/>
  <c r="L18" i="17"/>
  <c r="M13" i="17"/>
  <c r="K5" i="19"/>
  <c r="J8" i="19"/>
  <c r="J11" i="19"/>
  <c r="J19" i="19"/>
  <c r="J32" i="19"/>
  <c r="J34" i="19"/>
  <c r="J8" i="21"/>
  <c r="J11" i="21"/>
  <c r="J19" i="21"/>
  <c r="J32" i="21"/>
  <c r="J34" i="21"/>
  <c r="K5" i="21"/>
  <c r="M13" i="21"/>
  <c r="L18" i="21"/>
  <c r="L18" i="13"/>
  <c r="M13" i="13"/>
  <c r="N14" i="20"/>
  <c r="K5" i="13"/>
  <c r="J8" i="13"/>
  <c r="J11" i="13"/>
  <c r="J19" i="13"/>
  <c r="J32" i="13"/>
  <c r="J34" i="13"/>
  <c r="K5" i="22"/>
  <c r="J8" i="22"/>
  <c r="J11" i="22"/>
  <c r="J19" i="22"/>
  <c r="J32" i="22"/>
  <c r="J34" i="22"/>
  <c r="N15" i="20"/>
  <c r="K5" i="16"/>
  <c r="J8" i="16"/>
  <c r="J11" i="16"/>
  <c r="J19" i="16"/>
  <c r="J32" i="16"/>
  <c r="J34" i="16"/>
  <c r="J8" i="18"/>
  <c r="J11" i="18"/>
  <c r="J19" i="18"/>
  <c r="J32" i="18"/>
  <c r="J34" i="18"/>
  <c r="K5" i="18"/>
  <c r="L18" i="22"/>
  <c r="M13" i="22"/>
  <c r="N16" i="20"/>
  <c r="J8" i="23"/>
  <c r="J11" i="23"/>
  <c r="J19" i="23"/>
  <c r="J32" i="23"/>
  <c r="J34" i="23"/>
  <c r="K5" i="23"/>
  <c r="J8" i="15"/>
  <c r="J11" i="15"/>
  <c r="J19" i="15"/>
  <c r="J32" i="15"/>
  <c r="J34" i="15"/>
  <c r="K5" i="15"/>
  <c r="N17" i="20"/>
  <c r="L18" i="16"/>
  <c r="M13" i="16"/>
  <c r="M13" i="15"/>
  <c r="L18" i="15"/>
  <c r="L10" i="20"/>
  <c r="K11" i="20"/>
  <c r="K20" i="20"/>
  <c r="K33" i="20"/>
  <c r="L18" i="14"/>
  <c r="M13" i="14"/>
  <c r="L18" i="19"/>
  <c r="M13" i="19"/>
  <c r="M13" i="18"/>
  <c r="L18" i="18"/>
  <c r="L19" i="20"/>
  <c r="M13" i="20"/>
  <c r="V8" i="20"/>
  <c r="W5" i="20"/>
  <c r="M13" i="12"/>
  <c r="L18" i="12"/>
  <c r="H48" i="8"/>
  <c r="I57" i="8"/>
  <c r="H34" i="8"/>
  <c r="H27" i="8"/>
  <c r="H62" i="8"/>
  <c r="H20" i="8"/>
  <c r="H13" i="8"/>
  <c r="H83" i="8"/>
  <c r="H69" i="8"/>
  <c r="H76" i="8"/>
  <c r="H6" i="8"/>
  <c r="AF52" i="8"/>
  <c r="T95" i="8"/>
  <c r="S95" i="8"/>
  <c r="G88" i="8"/>
  <c r="T80" i="8"/>
  <c r="H99" i="8"/>
  <c r="T73" i="8"/>
  <c r="H98" i="8"/>
  <c r="T66" i="8"/>
  <c r="H97" i="8"/>
  <c r="T59" i="8"/>
  <c r="H96" i="8"/>
  <c r="T45" i="8"/>
  <c r="H94" i="8"/>
  <c r="T31" i="8"/>
  <c r="H92" i="8"/>
  <c r="T24" i="8"/>
  <c r="H91" i="8"/>
  <c r="T17" i="8"/>
  <c r="H90" i="8"/>
  <c r="T10" i="8"/>
  <c r="H89" i="8"/>
  <c r="T3" i="8"/>
  <c r="M18" i="18"/>
  <c r="N13" i="18"/>
  <c r="M10" i="20"/>
  <c r="L11" i="20"/>
  <c r="M18" i="15"/>
  <c r="N13" i="15"/>
  <c r="K8" i="15"/>
  <c r="K11" i="15"/>
  <c r="K19" i="15"/>
  <c r="K32" i="15"/>
  <c r="L5" i="15"/>
  <c r="M19" i="20"/>
  <c r="N13" i="20"/>
  <c r="M18" i="19"/>
  <c r="N13" i="19"/>
  <c r="M18" i="14"/>
  <c r="N13" i="14"/>
  <c r="M18" i="16"/>
  <c r="N13" i="16"/>
  <c r="O17" i="20"/>
  <c r="M18" i="22"/>
  <c r="N13" i="22"/>
  <c r="K8" i="18"/>
  <c r="K11" i="18"/>
  <c r="K19" i="18"/>
  <c r="K32" i="18"/>
  <c r="L5" i="18"/>
  <c r="O15" i="20"/>
  <c r="K8" i="22"/>
  <c r="K11" i="22"/>
  <c r="K19" i="22"/>
  <c r="K32" i="22"/>
  <c r="L5" i="22"/>
  <c r="L5" i="13"/>
  <c r="K8" i="13"/>
  <c r="K11" i="13"/>
  <c r="K19" i="13"/>
  <c r="K32" i="13"/>
  <c r="M18" i="13"/>
  <c r="N13" i="13"/>
  <c r="K8" i="21"/>
  <c r="K11" i="21"/>
  <c r="K19" i="21"/>
  <c r="K32" i="21"/>
  <c r="L5" i="21"/>
  <c r="N13" i="17"/>
  <c r="M18" i="17"/>
  <c r="O18" i="20"/>
  <c r="K8" i="23"/>
  <c r="K11" i="23"/>
  <c r="K19" i="23"/>
  <c r="K32" i="23"/>
  <c r="L5" i="23"/>
  <c r="O16" i="20"/>
  <c r="K8" i="16"/>
  <c r="K11" i="16"/>
  <c r="K19" i="16"/>
  <c r="K32" i="16"/>
  <c r="L5" i="16"/>
  <c r="O14" i="20"/>
  <c r="M18" i="21"/>
  <c r="N13" i="21"/>
  <c r="L5" i="19"/>
  <c r="K8" i="19"/>
  <c r="K11" i="19"/>
  <c r="K19" i="19"/>
  <c r="K32" i="19"/>
  <c r="K8" i="14"/>
  <c r="K11" i="14"/>
  <c r="K19" i="14"/>
  <c r="K32" i="14"/>
  <c r="L5" i="14"/>
  <c r="L5" i="17"/>
  <c r="K8" i="17"/>
  <c r="K11" i="17"/>
  <c r="K19" i="17"/>
  <c r="K32" i="17"/>
  <c r="N13" i="23"/>
  <c r="M18" i="23"/>
  <c r="L20" i="20"/>
  <c r="L33" i="20"/>
  <c r="W8" i="20"/>
  <c r="X5" i="20"/>
  <c r="M18" i="12"/>
  <c r="N13" i="12"/>
  <c r="I34" i="8"/>
  <c r="I13" i="8"/>
  <c r="I48" i="8"/>
  <c r="J57" i="8"/>
  <c r="I76" i="8"/>
  <c r="I83" i="8"/>
  <c r="I62" i="8"/>
  <c r="I69" i="8"/>
  <c r="I6" i="8"/>
  <c r="I27" i="8"/>
  <c r="I20" i="8"/>
  <c r="AG52" i="8"/>
  <c r="H88" i="8"/>
  <c r="U80" i="8"/>
  <c r="I99" i="8"/>
  <c r="U73" i="8"/>
  <c r="I98" i="8"/>
  <c r="U66" i="8"/>
  <c r="I97" i="8"/>
  <c r="U59" i="8"/>
  <c r="I96" i="8"/>
  <c r="U45" i="8"/>
  <c r="I94" i="8"/>
  <c r="U31" i="8"/>
  <c r="I92" i="8"/>
  <c r="U24" i="8"/>
  <c r="I91" i="8"/>
  <c r="U17" i="8"/>
  <c r="I90" i="8"/>
  <c r="U10" i="8"/>
  <c r="I89" i="8"/>
  <c r="U3" i="8"/>
  <c r="M5" i="14"/>
  <c r="L8" i="14"/>
  <c r="L11" i="14"/>
  <c r="L19" i="14"/>
  <c r="L32" i="14"/>
  <c r="O13" i="21"/>
  <c r="N18" i="21"/>
  <c r="P14" i="20"/>
  <c r="L8" i="23"/>
  <c r="L11" i="23"/>
  <c r="L19" i="23"/>
  <c r="L32" i="23"/>
  <c r="M5" i="23"/>
  <c r="P18" i="20"/>
  <c r="N18" i="17"/>
  <c r="O13" i="17"/>
  <c r="M5" i="13"/>
  <c r="L8" i="13"/>
  <c r="L11" i="13"/>
  <c r="L19" i="13"/>
  <c r="L32" i="13"/>
  <c r="M5" i="18"/>
  <c r="L8" i="18"/>
  <c r="L11" i="18"/>
  <c r="L19" i="18"/>
  <c r="L32" i="18"/>
  <c r="N18" i="22"/>
  <c r="O13" i="22"/>
  <c r="P17" i="20"/>
  <c r="N10" i="20"/>
  <c r="M11" i="20"/>
  <c r="M20" i="20"/>
  <c r="M33" i="20"/>
  <c r="N18" i="23"/>
  <c r="O13" i="23"/>
  <c r="L8" i="17"/>
  <c r="L11" i="17"/>
  <c r="L19" i="17"/>
  <c r="L32" i="17"/>
  <c r="M5" i="17"/>
  <c r="M5" i="19"/>
  <c r="L8" i="19"/>
  <c r="L11" i="19"/>
  <c r="L19" i="19"/>
  <c r="L32" i="19"/>
  <c r="M5" i="16"/>
  <c r="L8" i="16"/>
  <c r="L11" i="16"/>
  <c r="L19" i="16"/>
  <c r="L32" i="16"/>
  <c r="P16" i="20"/>
  <c r="M5" i="21"/>
  <c r="L8" i="21"/>
  <c r="L11" i="21"/>
  <c r="L19" i="21"/>
  <c r="L32" i="21"/>
  <c r="N18" i="13"/>
  <c r="O13" i="13"/>
  <c r="L8" i="22"/>
  <c r="L11" i="22"/>
  <c r="L19" i="22"/>
  <c r="L32" i="22"/>
  <c r="M5" i="22"/>
  <c r="P15" i="20"/>
  <c r="N18" i="16"/>
  <c r="O13" i="16"/>
  <c r="O13" i="14"/>
  <c r="N18" i="14"/>
  <c r="O13" i="19"/>
  <c r="N18" i="19"/>
  <c r="N19" i="20"/>
  <c r="O13" i="20"/>
  <c r="L8" i="15"/>
  <c r="L11" i="15"/>
  <c r="L19" i="15"/>
  <c r="L32" i="15"/>
  <c r="M5" i="15"/>
  <c r="N18" i="15"/>
  <c r="O13" i="15"/>
  <c r="N18" i="18"/>
  <c r="O13" i="18"/>
  <c r="X8" i="20"/>
  <c r="Y5" i="20"/>
  <c r="O13" i="12"/>
  <c r="N18" i="12"/>
  <c r="J62" i="8"/>
  <c r="K57" i="8"/>
  <c r="J69" i="8"/>
  <c r="J34" i="8"/>
  <c r="J83" i="8"/>
  <c r="J76" i="8"/>
  <c r="J13" i="8"/>
  <c r="J20" i="8"/>
  <c r="J6" i="8"/>
  <c r="J27" i="8"/>
  <c r="J48" i="8"/>
  <c r="AH52" i="8"/>
  <c r="V95" i="8"/>
  <c r="U95" i="8"/>
  <c r="I88" i="8"/>
  <c r="V80" i="8"/>
  <c r="J99" i="8"/>
  <c r="V73" i="8"/>
  <c r="J98" i="8"/>
  <c r="V66" i="8"/>
  <c r="J97" i="8"/>
  <c r="V59" i="8"/>
  <c r="J96" i="8"/>
  <c r="V45" i="8"/>
  <c r="J94" i="8"/>
  <c r="V31" i="8"/>
  <c r="J92" i="8"/>
  <c r="V24" i="8"/>
  <c r="J91" i="8"/>
  <c r="V17" i="8"/>
  <c r="J90" i="8"/>
  <c r="V10" i="8"/>
  <c r="J89" i="8"/>
  <c r="V3" i="8"/>
  <c r="P13" i="18"/>
  <c r="O18" i="18"/>
  <c r="P13" i="15"/>
  <c r="O18" i="15"/>
  <c r="N5" i="15"/>
  <c r="M8" i="15"/>
  <c r="M11" i="15"/>
  <c r="M19" i="15"/>
  <c r="M32" i="15"/>
  <c r="P13" i="20"/>
  <c r="O19" i="20"/>
  <c r="P13" i="16"/>
  <c r="O18" i="16"/>
  <c r="Q15" i="20"/>
  <c r="N5" i="17"/>
  <c r="M8" i="17"/>
  <c r="M11" i="17"/>
  <c r="M19" i="17"/>
  <c r="M32" i="17"/>
  <c r="P13" i="19"/>
  <c r="O18" i="19"/>
  <c r="P13" i="14"/>
  <c r="O18" i="14"/>
  <c r="M8" i="22"/>
  <c r="M11" i="22"/>
  <c r="M19" i="22"/>
  <c r="M32" i="22"/>
  <c r="N5" i="22"/>
  <c r="P13" i="13"/>
  <c r="O18" i="13"/>
  <c r="Q16" i="20"/>
  <c r="M8" i="16"/>
  <c r="M11" i="16"/>
  <c r="M19" i="16"/>
  <c r="M32" i="16"/>
  <c r="N5" i="16"/>
  <c r="M8" i="19"/>
  <c r="M11" i="19"/>
  <c r="M19" i="19"/>
  <c r="M32" i="19"/>
  <c r="N5" i="19"/>
  <c r="Q17" i="20"/>
  <c r="N5" i="18"/>
  <c r="M8" i="18"/>
  <c r="M11" i="18"/>
  <c r="M19" i="18"/>
  <c r="M32" i="18"/>
  <c r="N5" i="13"/>
  <c r="M8" i="13"/>
  <c r="M11" i="13"/>
  <c r="M19" i="13"/>
  <c r="M32" i="13"/>
  <c r="N5" i="23"/>
  <c r="M8" i="23"/>
  <c r="M11" i="23"/>
  <c r="M19" i="23"/>
  <c r="M32" i="23"/>
  <c r="Q14" i="20"/>
  <c r="O18" i="21"/>
  <c r="P13" i="21"/>
  <c r="N5" i="14"/>
  <c r="M8" i="14"/>
  <c r="M11" i="14"/>
  <c r="M19" i="14"/>
  <c r="M32" i="14"/>
  <c r="M8" i="21"/>
  <c r="M11" i="21"/>
  <c r="M19" i="21"/>
  <c r="M32" i="21"/>
  <c r="N5" i="21"/>
  <c r="P13" i="23"/>
  <c r="O18" i="23"/>
  <c r="O10" i="20"/>
  <c r="N11" i="20"/>
  <c r="N20" i="20"/>
  <c r="N33" i="20"/>
  <c r="O18" i="22"/>
  <c r="P13" i="22"/>
  <c r="P13" i="17"/>
  <c r="O18" i="17"/>
  <c r="Q18" i="20"/>
  <c r="Y8" i="20"/>
  <c r="Z5" i="20"/>
  <c r="O18" i="12"/>
  <c r="P13" i="12"/>
  <c r="K20" i="8"/>
  <c r="K6" i="8"/>
  <c r="K76" i="8"/>
  <c r="K13" i="8"/>
  <c r="K27" i="8"/>
  <c r="L57" i="8"/>
  <c r="K83" i="8"/>
  <c r="K62" i="8"/>
  <c r="K34" i="8"/>
  <c r="K48" i="8"/>
  <c r="K69" i="8"/>
  <c r="AI52" i="8"/>
  <c r="AA5" i="20"/>
  <c r="J88" i="8"/>
  <c r="W80" i="8"/>
  <c r="K99" i="8"/>
  <c r="W73" i="8"/>
  <c r="K98" i="8"/>
  <c r="W66" i="8"/>
  <c r="K97" i="8"/>
  <c r="W59" i="8"/>
  <c r="K96" i="8"/>
  <c r="W45" i="8"/>
  <c r="K94" i="8"/>
  <c r="W31" i="8"/>
  <c r="K92" i="8"/>
  <c r="W24" i="8"/>
  <c r="K91" i="8"/>
  <c r="W17" i="8"/>
  <c r="K90" i="8"/>
  <c r="W10" i="8"/>
  <c r="K89" i="8"/>
  <c r="W3" i="8"/>
  <c r="P10" i="20"/>
  <c r="O11" i="20"/>
  <c r="O20" i="20"/>
  <c r="O33" i="20"/>
  <c r="P18" i="23"/>
  <c r="Q13" i="23"/>
  <c r="P18" i="22"/>
  <c r="Q13" i="22"/>
  <c r="O5" i="21"/>
  <c r="N8" i="21"/>
  <c r="N11" i="21"/>
  <c r="N19" i="21"/>
  <c r="N32" i="21"/>
  <c r="N8" i="14"/>
  <c r="N11" i="14"/>
  <c r="N19" i="14"/>
  <c r="N32" i="14"/>
  <c r="O5" i="14"/>
  <c r="R17" i="20"/>
  <c r="N8" i="22"/>
  <c r="N11" i="22"/>
  <c r="N19" i="22"/>
  <c r="N32" i="22"/>
  <c r="O5" i="22"/>
  <c r="R15" i="20"/>
  <c r="Q13" i="16"/>
  <c r="P18" i="16"/>
  <c r="P19" i="20"/>
  <c r="Q13" i="20"/>
  <c r="N8" i="15"/>
  <c r="N11" i="15"/>
  <c r="N19" i="15"/>
  <c r="N32" i="15"/>
  <c r="O5" i="15"/>
  <c r="Q13" i="15"/>
  <c r="P18" i="15"/>
  <c r="Q13" i="18"/>
  <c r="P18" i="18"/>
  <c r="R18" i="20"/>
  <c r="Q13" i="17"/>
  <c r="P18" i="17"/>
  <c r="Q13" i="21"/>
  <c r="P18" i="21"/>
  <c r="R14" i="20"/>
  <c r="N8" i="23"/>
  <c r="N11" i="23"/>
  <c r="N19" i="23"/>
  <c r="N32" i="23"/>
  <c r="O5" i="23"/>
  <c r="O5" i="13"/>
  <c r="N8" i="13"/>
  <c r="N11" i="13"/>
  <c r="N19" i="13"/>
  <c r="N32" i="13"/>
  <c r="N8" i="18"/>
  <c r="N11" i="18"/>
  <c r="N19" i="18"/>
  <c r="N32" i="18"/>
  <c r="O5" i="18"/>
  <c r="N8" i="19"/>
  <c r="N11" i="19"/>
  <c r="N19" i="19"/>
  <c r="N32" i="19"/>
  <c r="O5" i="19"/>
  <c r="O5" i="16"/>
  <c r="N8" i="16"/>
  <c r="N11" i="16"/>
  <c r="N19" i="16"/>
  <c r="N32" i="16"/>
  <c r="R16" i="20"/>
  <c r="P18" i="13"/>
  <c r="Q13" i="13"/>
  <c r="P18" i="14"/>
  <c r="Q13" i="14"/>
  <c r="P18" i="19"/>
  <c r="Q13" i="19"/>
  <c r="N8" i="17"/>
  <c r="N11" i="17"/>
  <c r="N19" i="17"/>
  <c r="N32" i="17"/>
  <c r="O5" i="17"/>
  <c r="Z8" i="20"/>
  <c r="P18" i="12"/>
  <c r="Q13" i="12"/>
  <c r="L69" i="8"/>
  <c r="L13" i="8"/>
  <c r="L83" i="8"/>
  <c r="L6" i="8"/>
  <c r="M57" i="8"/>
  <c r="L34" i="8"/>
  <c r="L62" i="8"/>
  <c r="L76" i="8"/>
  <c r="L48" i="8"/>
  <c r="L27" i="8"/>
  <c r="L20" i="8"/>
  <c r="AJ52" i="8"/>
  <c r="X95" i="8"/>
  <c r="AB5" i="20"/>
  <c r="AA8" i="20"/>
  <c r="W95" i="8"/>
  <c r="K88" i="8"/>
  <c r="X80" i="8"/>
  <c r="L99" i="8"/>
  <c r="X73" i="8"/>
  <c r="L98" i="8"/>
  <c r="X66" i="8"/>
  <c r="L97" i="8"/>
  <c r="X59" i="8"/>
  <c r="L96" i="8"/>
  <c r="X45" i="8"/>
  <c r="L94" i="8"/>
  <c r="X31" i="8"/>
  <c r="L92" i="8"/>
  <c r="X24" i="8"/>
  <c r="L91" i="8"/>
  <c r="X17" i="8"/>
  <c r="L90" i="8"/>
  <c r="X10" i="8"/>
  <c r="L89" i="8"/>
  <c r="X3" i="8"/>
  <c r="Q18" i="19"/>
  <c r="R13" i="19"/>
  <c r="R13" i="14"/>
  <c r="Q18" i="14"/>
  <c r="S16" i="20"/>
  <c r="O8" i="16"/>
  <c r="O11" i="16"/>
  <c r="O19" i="16"/>
  <c r="O32" i="16"/>
  <c r="P5" i="16"/>
  <c r="P5" i="13"/>
  <c r="O8" i="13"/>
  <c r="O11" i="13"/>
  <c r="O19" i="13"/>
  <c r="O32" i="13"/>
  <c r="P5" i="19"/>
  <c r="O8" i="19"/>
  <c r="O11" i="19"/>
  <c r="O19" i="19"/>
  <c r="O32" i="19"/>
  <c r="O8" i="18"/>
  <c r="O11" i="18"/>
  <c r="O19" i="18"/>
  <c r="O32" i="18"/>
  <c r="P5" i="18"/>
  <c r="P5" i="23"/>
  <c r="O8" i="23"/>
  <c r="O11" i="23"/>
  <c r="O19" i="23"/>
  <c r="O32" i="23"/>
  <c r="S14" i="20"/>
  <c r="Q18" i="21"/>
  <c r="R13" i="21"/>
  <c r="R13" i="17"/>
  <c r="Q18" i="17"/>
  <c r="Q18" i="18"/>
  <c r="R13" i="18"/>
  <c r="Q18" i="15"/>
  <c r="R13" i="15"/>
  <c r="Q18" i="16"/>
  <c r="R13" i="16"/>
  <c r="O8" i="22"/>
  <c r="O11" i="22"/>
  <c r="O19" i="22"/>
  <c r="O32" i="22"/>
  <c r="P5" i="22"/>
  <c r="S17" i="20"/>
  <c r="O8" i="21"/>
  <c r="O11" i="21"/>
  <c r="O19" i="21"/>
  <c r="O32" i="21"/>
  <c r="P5" i="21"/>
  <c r="Q10" i="20"/>
  <c r="P11" i="20"/>
  <c r="P20" i="20"/>
  <c r="P33" i="20"/>
  <c r="O8" i="17"/>
  <c r="O11" i="17"/>
  <c r="O19" i="17"/>
  <c r="O32" i="17"/>
  <c r="P5" i="17"/>
  <c r="R13" i="13"/>
  <c r="Q18" i="13"/>
  <c r="S18" i="20"/>
  <c r="O8" i="15"/>
  <c r="O11" i="15"/>
  <c r="O19" i="15"/>
  <c r="O32" i="15"/>
  <c r="P5" i="15"/>
  <c r="R13" i="20"/>
  <c r="Q19" i="20"/>
  <c r="S15" i="20"/>
  <c r="O8" i="14"/>
  <c r="O11" i="14"/>
  <c r="O19" i="14"/>
  <c r="O32" i="14"/>
  <c r="P5" i="14"/>
  <c r="Q18" i="22"/>
  <c r="R13" i="22"/>
  <c r="R13" i="23"/>
  <c r="Q18" i="23"/>
  <c r="Q18" i="12"/>
  <c r="R13" i="12"/>
  <c r="M27" i="8"/>
  <c r="M13" i="8"/>
  <c r="M76" i="8"/>
  <c r="M6" i="8"/>
  <c r="M48" i="8"/>
  <c r="M62" i="8"/>
  <c r="M34" i="8"/>
  <c r="M20" i="8"/>
  <c r="M69" i="8"/>
  <c r="N57" i="8"/>
  <c r="M83" i="8"/>
  <c r="AK52" i="8"/>
  <c r="AB8" i="20"/>
  <c r="AC5" i="20"/>
  <c r="L88" i="8"/>
  <c r="Y80" i="8"/>
  <c r="M99" i="8"/>
  <c r="Y73" i="8"/>
  <c r="M98" i="8"/>
  <c r="Y66" i="8"/>
  <c r="M97" i="8"/>
  <c r="Y59" i="8"/>
  <c r="M96" i="8"/>
  <c r="Y45" i="8"/>
  <c r="M94" i="8"/>
  <c r="Y31" i="8"/>
  <c r="M92" i="8"/>
  <c r="Y24" i="8"/>
  <c r="M91" i="8"/>
  <c r="Y17" i="8"/>
  <c r="M90" i="8"/>
  <c r="Y10" i="8"/>
  <c r="M89" i="8"/>
  <c r="Y3" i="8"/>
  <c r="R18" i="23"/>
  <c r="S13" i="23"/>
  <c r="Q5" i="15"/>
  <c r="P8" i="15"/>
  <c r="P11" i="15"/>
  <c r="P19" i="15"/>
  <c r="P32" i="15"/>
  <c r="T18" i="20"/>
  <c r="S13" i="13"/>
  <c r="R18" i="13"/>
  <c r="R10" i="20"/>
  <c r="Q11" i="20"/>
  <c r="P8" i="22"/>
  <c r="P11" i="22"/>
  <c r="P19" i="22"/>
  <c r="P32" i="22"/>
  <c r="Q5" i="22"/>
  <c r="S13" i="16"/>
  <c r="R18" i="16"/>
  <c r="S13" i="15"/>
  <c r="R18" i="15"/>
  <c r="R18" i="18"/>
  <c r="S13" i="18"/>
  <c r="S13" i="21"/>
  <c r="R18" i="21"/>
  <c r="T14" i="20"/>
  <c r="P8" i="23"/>
  <c r="P11" i="23"/>
  <c r="P19" i="23"/>
  <c r="P32" i="23"/>
  <c r="Q5" i="23"/>
  <c r="P8" i="19"/>
  <c r="P11" i="19"/>
  <c r="P19" i="19"/>
  <c r="P32" i="19"/>
  <c r="Q5" i="19"/>
  <c r="Q5" i="13"/>
  <c r="P8" i="13"/>
  <c r="P11" i="13"/>
  <c r="P19" i="13"/>
  <c r="P32" i="13"/>
  <c r="R18" i="19"/>
  <c r="S13" i="19"/>
  <c r="Q20" i="20"/>
  <c r="Q33" i="20"/>
  <c r="R18" i="22"/>
  <c r="S13" i="22"/>
  <c r="P8" i="14"/>
  <c r="P11" i="14"/>
  <c r="P19" i="14"/>
  <c r="P32" i="14"/>
  <c r="Q5" i="14"/>
  <c r="T15" i="20"/>
  <c r="R19" i="20"/>
  <c r="S13" i="20"/>
  <c r="Q5" i="17"/>
  <c r="P8" i="17"/>
  <c r="P11" i="17"/>
  <c r="P19" i="17"/>
  <c r="P32" i="17"/>
  <c r="Q5" i="21"/>
  <c r="P8" i="21"/>
  <c r="P11" i="21"/>
  <c r="P19" i="21"/>
  <c r="P32" i="21"/>
  <c r="T17" i="20"/>
  <c r="R18" i="17"/>
  <c r="S13" i="17"/>
  <c r="P8" i="18"/>
  <c r="P11" i="18"/>
  <c r="P19" i="18"/>
  <c r="P32" i="18"/>
  <c r="Q5" i="18"/>
  <c r="Q5" i="16"/>
  <c r="P8" i="16"/>
  <c r="P11" i="16"/>
  <c r="P19" i="16"/>
  <c r="P32" i="16"/>
  <c r="T16" i="20"/>
  <c r="R18" i="14"/>
  <c r="S13" i="14"/>
  <c r="S13" i="12"/>
  <c r="R18" i="12"/>
  <c r="C85" i="8"/>
  <c r="C36" i="8"/>
  <c r="O57" i="8"/>
  <c r="C64" i="8"/>
  <c r="C50" i="8"/>
  <c r="C78" i="8"/>
  <c r="C8" i="8"/>
  <c r="C22" i="8"/>
  <c r="C15" i="8"/>
  <c r="C29" i="8"/>
  <c r="C71" i="8"/>
  <c r="AL52" i="8"/>
  <c r="Z95" i="8"/>
  <c r="AC8" i="20"/>
  <c r="AD5" i="20"/>
  <c r="Y95" i="8"/>
  <c r="M88" i="8"/>
  <c r="Z80" i="8"/>
  <c r="N99" i="8"/>
  <c r="Z73" i="8"/>
  <c r="N98" i="8"/>
  <c r="Z66" i="8"/>
  <c r="N97" i="8"/>
  <c r="Z59" i="8"/>
  <c r="N96" i="8"/>
  <c r="Z45" i="8"/>
  <c r="N94" i="8"/>
  <c r="Z31" i="8"/>
  <c r="N92" i="8"/>
  <c r="Z24" i="8"/>
  <c r="N91" i="8"/>
  <c r="Z17" i="8"/>
  <c r="N90" i="8"/>
  <c r="Z10" i="8"/>
  <c r="N89" i="8"/>
  <c r="S5" i="8"/>
  <c r="D5" i="8"/>
  <c r="Z3" i="8"/>
  <c r="T13" i="14"/>
  <c r="S18" i="14"/>
  <c r="U16" i="20"/>
  <c r="R5" i="16"/>
  <c r="Q8" i="16"/>
  <c r="Q11" i="16"/>
  <c r="Q19" i="16"/>
  <c r="Q32" i="16"/>
  <c r="T13" i="20"/>
  <c r="S19" i="20"/>
  <c r="U15" i="20"/>
  <c r="R5" i="19"/>
  <c r="Q8" i="19"/>
  <c r="Q11" i="19"/>
  <c r="Q19" i="19"/>
  <c r="Q32" i="19"/>
  <c r="R5" i="23"/>
  <c r="Q8" i="23"/>
  <c r="Q11" i="23"/>
  <c r="Q19" i="23"/>
  <c r="Q32" i="23"/>
  <c r="U14" i="20"/>
  <c r="S18" i="21"/>
  <c r="T13" i="21"/>
  <c r="T13" i="15"/>
  <c r="S18" i="15"/>
  <c r="T13" i="16"/>
  <c r="S18" i="16"/>
  <c r="S10" i="20"/>
  <c r="R11" i="20"/>
  <c r="R20" i="20"/>
  <c r="R33" i="20"/>
  <c r="T13" i="13"/>
  <c r="S18" i="13"/>
  <c r="T13" i="23"/>
  <c r="S18" i="23"/>
  <c r="Q8" i="18"/>
  <c r="Q11" i="18"/>
  <c r="Q19" i="18"/>
  <c r="Q32" i="18"/>
  <c r="R5" i="18"/>
  <c r="S18" i="17"/>
  <c r="T13" i="17"/>
  <c r="U17" i="20"/>
  <c r="Q8" i="21"/>
  <c r="Q11" i="21"/>
  <c r="Q19" i="21"/>
  <c r="Q32" i="21"/>
  <c r="R5" i="21"/>
  <c r="Q8" i="17"/>
  <c r="Q11" i="17"/>
  <c r="Q19" i="17"/>
  <c r="Q32" i="17"/>
  <c r="R5" i="17"/>
  <c r="Q8" i="14"/>
  <c r="Q11" i="14"/>
  <c r="Q19" i="14"/>
  <c r="Q32" i="14"/>
  <c r="R5" i="14"/>
  <c r="S18" i="22"/>
  <c r="T13" i="22"/>
  <c r="R5" i="13"/>
  <c r="Q8" i="13"/>
  <c r="Q11" i="13"/>
  <c r="Q19" i="13"/>
  <c r="Q32" i="13"/>
  <c r="T13" i="18"/>
  <c r="S18" i="18"/>
  <c r="Q8" i="22"/>
  <c r="Q11" i="22"/>
  <c r="Q19" i="22"/>
  <c r="Q32" i="22"/>
  <c r="R5" i="22"/>
  <c r="U18" i="20"/>
  <c r="R5" i="15"/>
  <c r="Q8" i="15"/>
  <c r="Q11" i="15"/>
  <c r="Q19" i="15"/>
  <c r="Q32" i="15"/>
  <c r="S18" i="19"/>
  <c r="T13" i="19"/>
  <c r="S18" i="12"/>
  <c r="T13" i="12"/>
  <c r="D71" i="8"/>
  <c r="D85" i="8"/>
  <c r="D8" i="8"/>
  <c r="D78" i="8"/>
  <c r="D64" i="8"/>
  <c r="D36" i="8"/>
  <c r="D22" i="8"/>
  <c r="D29" i="8"/>
  <c r="D15" i="8"/>
  <c r="D50" i="8"/>
  <c r="P57" i="8"/>
  <c r="AM52" i="8"/>
  <c r="AA95" i="8"/>
  <c r="N88" i="8"/>
  <c r="AA80" i="8"/>
  <c r="O99" i="8"/>
  <c r="AA73" i="8"/>
  <c r="O98" i="8"/>
  <c r="AA66" i="8"/>
  <c r="O97" i="8"/>
  <c r="AA59" i="8"/>
  <c r="O96" i="8"/>
  <c r="AA45" i="8"/>
  <c r="O94" i="8"/>
  <c r="AA31" i="8"/>
  <c r="O92" i="8"/>
  <c r="AA24" i="8"/>
  <c r="O91" i="8"/>
  <c r="AA17" i="8"/>
  <c r="O90" i="8"/>
  <c r="AA10" i="8"/>
  <c r="O89" i="8"/>
  <c r="E5" i="8"/>
  <c r="T5" i="8"/>
  <c r="AA3" i="8"/>
  <c r="V18" i="20"/>
  <c r="T18" i="18"/>
  <c r="U13" i="18"/>
  <c r="U13" i="19"/>
  <c r="T18" i="19"/>
  <c r="S5" i="15"/>
  <c r="R8" i="15"/>
  <c r="R11" i="15"/>
  <c r="R19" i="15"/>
  <c r="R32" i="15"/>
  <c r="R8" i="22"/>
  <c r="R11" i="22"/>
  <c r="R19" i="22"/>
  <c r="R32" i="22"/>
  <c r="S5" i="22"/>
  <c r="T18" i="22"/>
  <c r="U13" i="22"/>
  <c r="R8" i="14"/>
  <c r="R11" i="14"/>
  <c r="R19" i="14"/>
  <c r="R32" i="14"/>
  <c r="S5" i="14"/>
  <c r="R8" i="17"/>
  <c r="R11" i="17"/>
  <c r="R19" i="17"/>
  <c r="R32" i="17"/>
  <c r="S5" i="17"/>
  <c r="S5" i="21"/>
  <c r="R8" i="21"/>
  <c r="R11" i="21"/>
  <c r="R19" i="21"/>
  <c r="R32" i="21"/>
  <c r="V17" i="20"/>
  <c r="T18" i="23"/>
  <c r="U13" i="23"/>
  <c r="U13" i="13"/>
  <c r="T18" i="13"/>
  <c r="T10" i="20"/>
  <c r="S11" i="20"/>
  <c r="U13" i="16"/>
  <c r="T18" i="16"/>
  <c r="T18" i="15"/>
  <c r="U13" i="15"/>
  <c r="V15" i="20"/>
  <c r="T19" i="20"/>
  <c r="U13" i="20"/>
  <c r="S5" i="16"/>
  <c r="R8" i="16"/>
  <c r="R11" i="16"/>
  <c r="R19" i="16"/>
  <c r="R32" i="16"/>
  <c r="R8" i="13"/>
  <c r="R11" i="13"/>
  <c r="R19" i="13"/>
  <c r="R32" i="13"/>
  <c r="S5" i="13"/>
  <c r="T18" i="17"/>
  <c r="U13" i="17"/>
  <c r="S5" i="18"/>
  <c r="R8" i="18"/>
  <c r="R11" i="18"/>
  <c r="R19" i="18"/>
  <c r="R32" i="18"/>
  <c r="U13" i="21"/>
  <c r="T18" i="21"/>
  <c r="V14" i="20"/>
  <c r="R8" i="23"/>
  <c r="R11" i="23"/>
  <c r="R19" i="23"/>
  <c r="R32" i="23"/>
  <c r="S5" i="23"/>
  <c r="R8" i="19"/>
  <c r="R11" i="19"/>
  <c r="R19" i="19"/>
  <c r="R32" i="19"/>
  <c r="S5" i="19"/>
  <c r="V16" i="20"/>
  <c r="U13" i="14"/>
  <c r="T18" i="14"/>
  <c r="S20" i="20"/>
  <c r="S33" i="20"/>
  <c r="T18" i="12"/>
  <c r="U13" i="12"/>
  <c r="E15" i="8"/>
  <c r="E78" i="8"/>
  <c r="E8" i="8"/>
  <c r="E50" i="8"/>
  <c r="E29" i="8"/>
  <c r="E22" i="8"/>
  <c r="E71" i="8"/>
  <c r="E85" i="8"/>
  <c r="E36" i="8"/>
  <c r="E64" i="8"/>
  <c r="N52" i="8"/>
  <c r="O88" i="8"/>
  <c r="AB80" i="8"/>
  <c r="P99" i="8"/>
  <c r="AB73" i="8"/>
  <c r="P98" i="8"/>
  <c r="AB66" i="8"/>
  <c r="P97" i="8"/>
  <c r="AB59" i="8"/>
  <c r="P96" i="8"/>
  <c r="AB45" i="8"/>
  <c r="P94" i="8"/>
  <c r="AB31" i="8"/>
  <c r="P92" i="8"/>
  <c r="AB24" i="8"/>
  <c r="P91" i="8"/>
  <c r="AB17" i="8"/>
  <c r="P90" i="8"/>
  <c r="AB10" i="8"/>
  <c r="P89" i="8"/>
  <c r="F5" i="8"/>
  <c r="U5" i="8"/>
  <c r="AB3" i="8"/>
  <c r="W16" i="20"/>
  <c r="S8" i="13"/>
  <c r="S11" i="13"/>
  <c r="S19" i="13"/>
  <c r="S32" i="13"/>
  <c r="T5" i="13"/>
  <c r="V13" i="20"/>
  <c r="U19" i="20"/>
  <c r="W15" i="20"/>
  <c r="U18" i="14"/>
  <c r="V13" i="14"/>
  <c r="S8" i="19"/>
  <c r="S11" i="19"/>
  <c r="S19" i="19"/>
  <c r="S32" i="19"/>
  <c r="T5" i="19"/>
  <c r="T5" i="23"/>
  <c r="S8" i="23"/>
  <c r="S11" i="23"/>
  <c r="S19" i="23"/>
  <c r="S32" i="23"/>
  <c r="W14" i="20"/>
  <c r="U18" i="21"/>
  <c r="V13" i="21"/>
  <c r="T5" i="18"/>
  <c r="S8" i="18"/>
  <c r="S11" i="18"/>
  <c r="S19" i="18"/>
  <c r="S32" i="18"/>
  <c r="S8" i="16"/>
  <c r="S11" i="16"/>
  <c r="S19" i="16"/>
  <c r="S32" i="16"/>
  <c r="T5" i="16"/>
  <c r="U18" i="15"/>
  <c r="V13" i="15"/>
  <c r="V13" i="23"/>
  <c r="U18" i="23"/>
  <c r="W17" i="20"/>
  <c r="S8" i="21"/>
  <c r="S11" i="21"/>
  <c r="S19" i="21"/>
  <c r="S32" i="21"/>
  <c r="T5" i="21"/>
  <c r="S8" i="15"/>
  <c r="S11" i="15"/>
  <c r="S19" i="15"/>
  <c r="S32" i="15"/>
  <c r="T5" i="15"/>
  <c r="V13" i="19"/>
  <c r="U18" i="19"/>
  <c r="V13" i="17"/>
  <c r="U18" i="17"/>
  <c r="V13" i="16"/>
  <c r="U18" i="16"/>
  <c r="U10" i="20"/>
  <c r="T11" i="20"/>
  <c r="T20" i="20"/>
  <c r="T33" i="20"/>
  <c r="V13" i="13"/>
  <c r="U18" i="13"/>
  <c r="T5" i="17"/>
  <c r="S8" i="17"/>
  <c r="S11" i="17"/>
  <c r="S19" i="17"/>
  <c r="S32" i="17"/>
  <c r="S8" i="14"/>
  <c r="S11" i="14"/>
  <c r="S19" i="14"/>
  <c r="S32" i="14"/>
  <c r="T5" i="14"/>
  <c r="U18" i="22"/>
  <c r="V13" i="22"/>
  <c r="S8" i="22"/>
  <c r="S11" i="22"/>
  <c r="S19" i="22"/>
  <c r="S32" i="22"/>
  <c r="T5" i="22"/>
  <c r="V13" i="18"/>
  <c r="U18" i="18"/>
  <c r="W18" i="20"/>
  <c r="V13" i="12"/>
  <c r="U18" i="12"/>
  <c r="F29" i="8"/>
  <c r="F64" i="8"/>
  <c r="F85" i="8"/>
  <c r="F71" i="8"/>
  <c r="F78" i="8"/>
  <c r="F50" i="8"/>
  <c r="F22" i="8"/>
  <c r="F15" i="8"/>
  <c r="F36" i="8"/>
  <c r="F8" i="8"/>
  <c r="P88" i="8"/>
  <c r="AC80" i="8"/>
  <c r="Q99" i="8"/>
  <c r="AC73" i="8"/>
  <c r="Q98" i="8"/>
  <c r="AC66" i="8"/>
  <c r="Q97" i="8"/>
  <c r="AC59" i="8"/>
  <c r="Q96" i="8"/>
  <c r="AC45" i="8"/>
  <c r="Q94" i="8"/>
  <c r="AC31" i="8"/>
  <c r="Q92" i="8"/>
  <c r="AC24" i="8"/>
  <c r="Q91" i="8"/>
  <c r="AC17" i="8"/>
  <c r="Q90" i="8"/>
  <c r="AC10" i="8"/>
  <c r="Q89" i="8"/>
  <c r="G5" i="8"/>
  <c r="V5" i="8"/>
  <c r="AC3" i="8"/>
  <c r="T8" i="22"/>
  <c r="T11" i="22"/>
  <c r="T19" i="22"/>
  <c r="T32" i="22"/>
  <c r="U5" i="22"/>
  <c r="W13" i="22"/>
  <c r="V18" i="22"/>
  <c r="T8" i="14"/>
  <c r="T11" i="14"/>
  <c r="T19" i="14"/>
  <c r="T32" i="14"/>
  <c r="U5" i="14"/>
  <c r="V18" i="19"/>
  <c r="W13" i="19"/>
  <c r="X18" i="20"/>
  <c r="W13" i="18"/>
  <c r="V18" i="18"/>
  <c r="T8" i="17"/>
  <c r="T11" i="17"/>
  <c r="T19" i="17"/>
  <c r="T32" i="17"/>
  <c r="U5" i="17"/>
  <c r="W13" i="13"/>
  <c r="V18" i="13"/>
  <c r="V10" i="20"/>
  <c r="U11" i="20"/>
  <c r="U20" i="20"/>
  <c r="U33" i="20"/>
  <c r="V18" i="16"/>
  <c r="W13" i="16"/>
  <c r="V18" i="17"/>
  <c r="W13" i="17"/>
  <c r="U5" i="15"/>
  <c r="T8" i="15"/>
  <c r="T11" i="15"/>
  <c r="T19" i="15"/>
  <c r="T32" i="15"/>
  <c r="U5" i="21"/>
  <c r="T8" i="21"/>
  <c r="T11" i="21"/>
  <c r="T19" i="21"/>
  <c r="T32" i="21"/>
  <c r="X17" i="20"/>
  <c r="W13" i="23"/>
  <c r="V18" i="23"/>
  <c r="T8" i="18"/>
  <c r="T11" i="18"/>
  <c r="T19" i="18"/>
  <c r="T32" i="18"/>
  <c r="U5" i="18"/>
  <c r="U5" i="19"/>
  <c r="T8" i="19"/>
  <c r="T11" i="19"/>
  <c r="T19" i="19"/>
  <c r="T32" i="19"/>
  <c r="W13" i="14"/>
  <c r="V18" i="14"/>
  <c r="X15" i="20"/>
  <c r="W13" i="20"/>
  <c r="V19" i="20"/>
  <c r="W13" i="15"/>
  <c r="V18" i="15"/>
  <c r="T8" i="16"/>
  <c r="T11" i="16"/>
  <c r="T19" i="16"/>
  <c r="T32" i="16"/>
  <c r="U5" i="16"/>
  <c r="V18" i="21"/>
  <c r="W13" i="21"/>
  <c r="X14" i="20"/>
  <c r="T8" i="23"/>
  <c r="T11" i="23"/>
  <c r="T19" i="23"/>
  <c r="T32" i="23"/>
  <c r="U5" i="23"/>
  <c r="T8" i="13"/>
  <c r="T11" i="13"/>
  <c r="T19" i="13"/>
  <c r="T32" i="13"/>
  <c r="U5" i="13"/>
  <c r="X16" i="20"/>
  <c r="V18" i="12"/>
  <c r="W13" i="12"/>
  <c r="G22" i="8"/>
  <c r="G64" i="8"/>
  <c r="G78" i="8"/>
  <c r="G8" i="8"/>
  <c r="G29" i="8"/>
  <c r="G36" i="8"/>
  <c r="G15" i="8"/>
  <c r="G50" i="8"/>
  <c r="G85" i="8"/>
  <c r="G71" i="8"/>
  <c r="Q88" i="8"/>
  <c r="AD80" i="8"/>
  <c r="R99" i="8"/>
  <c r="AD73" i="8"/>
  <c r="R98" i="8"/>
  <c r="AD66" i="8"/>
  <c r="R97" i="8"/>
  <c r="AD59" i="8"/>
  <c r="R96" i="8"/>
  <c r="AD45" i="8"/>
  <c r="R94" i="8"/>
  <c r="AD31" i="8"/>
  <c r="R92" i="8"/>
  <c r="AD24" i="8"/>
  <c r="R91" i="8"/>
  <c r="AD17" i="8"/>
  <c r="R90" i="8"/>
  <c r="AD10" i="8"/>
  <c r="R89" i="8"/>
  <c r="H5" i="8"/>
  <c r="W5" i="8"/>
  <c r="AD3" i="8"/>
  <c r="X13" i="21"/>
  <c r="W18" i="21"/>
  <c r="W18" i="23"/>
  <c r="X13" i="23"/>
  <c r="W18" i="17"/>
  <c r="X13" i="17"/>
  <c r="V5" i="17"/>
  <c r="U8" i="17"/>
  <c r="U11" i="17"/>
  <c r="U19" i="17"/>
  <c r="U32" i="17"/>
  <c r="U8" i="13"/>
  <c r="U11" i="13"/>
  <c r="U19" i="13"/>
  <c r="U32" i="13"/>
  <c r="V5" i="13"/>
  <c r="V5" i="23"/>
  <c r="U8" i="23"/>
  <c r="U11" i="23"/>
  <c r="U19" i="23"/>
  <c r="U32" i="23"/>
  <c r="Y14" i="20"/>
  <c r="W18" i="15"/>
  <c r="X13" i="15"/>
  <c r="W19" i="20"/>
  <c r="X13" i="20"/>
  <c r="V5" i="18"/>
  <c r="U8" i="18"/>
  <c r="U11" i="18"/>
  <c r="U19" i="18"/>
  <c r="U32" i="18"/>
  <c r="Y17" i="20"/>
  <c r="U8" i="21"/>
  <c r="U11" i="21"/>
  <c r="U19" i="21"/>
  <c r="U32" i="21"/>
  <c r="V5" i="21"/>
  <c r="V5" i="15"/>
  <c r="U8" i="15"/>
  <c r="U11" i="15"/>
  <c r="U19" i="15"/>
  <c r="U32" i="15"/>
  <c r="W10" i="20"/>
  <c r="V11" i="20"/>
  <c r="W18" i="13"/>
  <c r="X13" i="13"/>
  <c r="W18" i="18"/>
  <c r="X13" i="18"/>
  <c r="W18" i="19"/>
  <c r="X13" i="19"/>
  <c r="V5" i="14"/>
  <c r="U8" i="14"/>
  <c r="U11" i="14"/>
  <c r="U19" i="14"/>
  <c r="U32" i="14"/>
  <c r="U8" i="22"/>
  <c r="U11" i="22"/>
  <c r="U19" i="22"/>
  <c r="U32" i="22"/>
  <c r="V5" i="22"/>
  <c r="Y16" i="20"/>
  <c r="V5" i="16"/>
  <c r="U8" i="16"/>
  <c r="U11" i="16"/>
  <c r="U19" i="16"/>
  <c r="U32" i="16"/>
  <c r="Y15" i="20"/>
  <c r="W18" i="14"/>
  <c r="X13" i="14"/>
  <c r="U8" i="19"/>
  <c r="U11" i="19"/>
  <c r="U19" i="19"/>
  <c r="U32" i="19"/>
  <c r="V5" i="19"/>
  <c r="W18" i="16"/>
  <c r="X13" i="16"/>
  <c r="Y18" i="20"/>
  <c r="X13" i="22"/>
  <c r="W18" i="22"/>
  <c r="V20" i="20"/>
  <c r="V33" i="20"/>
  <c r="W18" i="12"/>
  <c r="X13" i="12"/>
  <c r="H85" i="8"/>
  <c r="H36" i="8"/>
  <c r="H64" i="8"/>
  <c r="H8" i="8"/>
  <c r="H15" i="8"/>
  <c r="H78" i="8"/>
  <c r="H50" i="8"/>
  <c r="H29" i="8"/>
  <c r="H22" i="8"/>
  <c r="H71" i="8"/>
  <c r="R88" i="8"/>
  <c r="AE80" i="8"/>
  <c r="S99" i="8"/>
  <c r="AE73" i="8"/>
  <c r="S98" i="8"/>
  <c r="AE66" i="8"/>
  <c r="S97" i="8"/>
  <c r="AE59" i="8"/>
  <c r="S96" i="8"/>
  <c r="AE45" i="8"/>
  <c r="S94" i="8"/>
  <c r="AE31" i="8"/>
  <c r="S92" i="8"/>
  <c r="AE24" i="8"/>
  <c r="S91" i="8"/>
  <c r="AE17" i="8"/>
  <c r="S90" i="8"/>
  <c r="AE10" i="8"/>
  <c r="S89" i="8"/>
  <c r="I5" i="8"/>
  <c r="X5" i="8"/>
  <c r="AE3" i="8"/>
  <c r="Z18" i="20"/>
  <c r="W5" i="14"/>
  <c r="V8" i="14"/>
  <c r="V11" i="14"/>
  <c r="V19" i="14"/>
  <c r="V32" i="14"/>
  <c r="X18" i="22"/>
  <c r="Y13" i="22"/>
  <c r="Y13" i="16"/>
  <c r="X18" i="16"/>
  <c r="W5" i="19"/>
  <c r="V8" i="19"/>
  <c r="V11" i="19"/>
  <c r="V19" i="19"/>
  <c r="V32" i="19"/>
  <c r="X18" i="14"/>
  <c r="Y13" i="14"/>
  <c r="Z15" i="20"/>
  <c r="W5" i="16"/>
  <c r="V8" i="16"/>
  <c r="V11" i="16"/>
  <c r="V19" i="16"/>
  <c r="V32" i="16"/>
  <c r="W5" i="22"/>
  <c r="V8" i="22"/>
  <c r="V11" i="22"/>
  <c r="V19" i="22"/>
  <c r="V32" i="22"/>
  <c r="X18" i="19"/>
  <c r="Y13" i="19"/>
  <c r="Y13" i="18"/>
  <c r="X18" i="18"/>
  <c r="Y13" i="13"/>
  <c r="X18" i="13"/>
  <c r="V8" i="21"/>
  <c r="V11" i="21"/>
  <c r="V19" i="21"/>
  <c r="V32" i="21"/>
  <c r="W5" i="21"/>
  <c r="Z17" i="20"/>
  <c r="W5" i="18"/>
  <c r="V8" i="18"/>
  <c r="V11" i="18"/>
  <c r="V19" i="18"/>
  <c r="V32" i="18"/>
  <c r="W5" i="13"/>
  <c r="V8" i="13"/>
  <c r="V11" i="13"/>
  <c r="V19" i="13"/>
  <c r="V32" i="13"/>
  <c r="Y13" i="17"/>
  <c r="X18" i="17"/>
  <c r="X18" i="23"/>
  <c r="Y13" i="23"/>
  <c r="Z16" i="20"/>
  <c r="X10" i="20"/>
  <c r="W11" i="20"/>
  <c r="W20" i="20"/>
  <c r="W33" i="20"/>
  <c r="V8" i="15"/>
  <c r="V11" i="15"/>
  <c r="V19" i="15"/>
  <c r="V32" i="15"/>
  <c r="W5" i="15"/>
  <c r="X19" i="20"/>
  <c r="Y13" i="20"/>
  <c r="X18" i="15"/>
  <c r="Y13" i="15"/>
  <c r="Z14" i="20"/>
  <c r="W5" i="23"/>
  <c r="V8" i="23"/>
  <c r="V11" i="23"/>
  <c r="V19" i="23"/>
  <c r="V32" i="23"/>
  <c r="W5" i="17"/>
  <c r="V8" i="17"/>
  <c r="V11" i="17"/>
  <c r="V19" i="17"/>
  <c r="V32" i="17"/>
  <c r="Y13" i="21"/>
  <c r="X18" i="21"/>
  <c r="X18" i="12"/>
  <c r="Y13" i="12"/>
  <c r="I64" i="8"/>
  <c r="I8" i="8"/>
  <c r="I29" i="8"/>
  <c r="I22" i="8"/>
  <c r="I78" i="8"/>
  <c r="I71" i="8"/>
  <c r="I50" i="8"/>
  <c r="I15" i="8"/>
  <c r="I85" i="8"/>
  <c r="I36" i="8"/>
  <c r="S88" i="8"/>
  <c r="AF80" i="8"/>
  <c r="T99" i="8"/>
  <c r="AF73" i="8"/>
  <c r="T98" i="8"/>
  <c r="AF66" i="8"/>
  <c r="T97" i="8"/>
  <c r="AF59" i="8"/>
  <c r="T96" i="8"/>
  <c r="AF45" i="8"/>
  <c r="T94" i="8"/>
  <c r="AF31" i="8"/>
  <c r="T92" i="8"/>
  <c r="AF24" i="8"/>
  <c r="T91" i="8"/>
  <c r="AF17" i="8"/>
  <c r="T90" i="8"/>
  <c r="AF10" i="8"/>
  <c r="T89" i="8"/>
  <c r="J5" i="8"/>
  <c r="Z5" i="8"/>
  <c r="Y5" i="8"/>
  <c r="AF3" i="8"/>
  <c r="Z13" i="23"/>
  <c r="Y18" i="23"/>
  <c r="AA17" i="20"/>
  <c r="Y18" i="13"/>
  <c r="Z13" i="13"/>
  <c r="Z13" i="18"/>
  <c r="Y18" i="18"/>
  <c r="X5" i="22"/>
  <c r="W8" i="22"/>
  <c r="W11" i="22"/>
  <c r="W19" i="22"/>
  <c r="W32" i="22"/>
  <c r="Y18" i="21"/>
  <c r="Z13" i="21"/>
  <c r="W8" i="17"/>
  <c r="W11" i="17"/>
  <c r="W19" i="17"/>
  <c r="W32" i="17"/>
  <c r="X5" i="17"/>
  <c r="W8" i="23"/>
  <c r="W11" i="23"/>
  <c r="W19" i="23"/>
  <c r="W32" i="23"/>
  <c r="X5" i="23"/>
  <c r="Z13" i="15"/>
  <c r="Y18" i="15"/>
  <c r="Z13" i="20"/>
  <c r="Y19" i="20"/>
  <c r="X5" i="15"/>
  <c r="W8" i="15"/>
  <c r="W11" i="15"/>
  <c r="W19" i="15"/>
  <c r="W32" i="15"/>
  <c r="AA16" i="20"/>
  <c r="Y18" i="17"/>
  <c r="Z13" i="17"/>
  <c r="X5" i="13"/>
  <c r="W8" i="13"/>
  <c r="W11" i="13"/>
  <c r="W19" i="13"/>
  <c r="W32" i="13"/>
  <c r="W8" i="18"/>
  <c r="W11" i="18"/>
  <c r="W19" i="18"/>
  <c r="W32" i="18"/>
  <c r="X5" i="18"/>
  <c r="X5" i="21"/>
  <c r="W8" i="21"/>
  <c r="W11" i="21"/>
  <c r="W19" i="21"/>
  <c r="W32" i="21"/>
  <c r="Y18" i="19"/>
  <c r="Z13" i="19"/>
  <c r="AA15" i="20"/>
  <c r="X5" i="19"/>
  <c r="W8" i="19"/>
  <c r="W11" i="19"/>
  <c r="W19" i="19"/>
  <c r="W32" i="19"/>
  <c r="Z13" i="16"/>
  <c r="Y18" i="16"/>
  <c r="X5" i="14"/>
  <c r="W8" i="14"/>
  <c r="W11" i="14"/>
  <c r="W19" i="14"/>
  <c r="W32" i="14"/>
  <c r="AA14" i="20"/>
  <c r="Y10" i="20"/>
  <c r="X11" i="20"/>
  <c r="X20" i="20"/>
  <c r="X33" i="20"/>
  <c r="X5" i="16"/>
  <c r="W8" i="16"/>
  <c r="W11" i="16"/>
  <c r="W19" i="16"/>
  <c r="W32" i="16"/>
  <c r="Z13" i="14"/>
  <c r="Y18" i="14"/>
  <c r="Y18" i="22"/>
  <c r="Z13" i="22"/>
  <c r="AA18" i="20"/>
  <c r="Z13" i="12"/>
  <c r="Y18" i="12"/>
  <c r="J78" i="8"/>
  <c r="J15" i="8"/>
  <c r="J29" i="8"/>
  <c r="J22" i="8"/>
  <c r="J36" i="8"/>
  <c r="J71" i="8"/>
  <c r="J50" i="8"/>
  <c r="J8" i="8"/>
  <c r="J64" i="8"/>
  <c r="J85" i="8"/>
  <c r="T88" i="8"/>
  <c r="AG80" i="8"/>
  <c r="U99" i="8"/>
  <c r="AG73" i="8"/>
  <c r="U98" i="8"/>
  <c r="AG66" i="8"/>
  <c r="U97" i="8"/>
  <c r="AG59" i="8"/>
  <c r="U96" i="8"/>
  <c r="AG45" i="8"/>
  <c r="U94" i="8"/>
  <c r="AG31" i="8"/>
  <c r="U92" i="8"/>
  <c r="AG24" i="8"/>
  <c r="U91" i="8"/>
  <c r="AG17" i="8"/>
  <c r="U90" i="8"/>
  <c r="AG10" i="8"/>
  <c r="U89" i="8"/>
  <c r="K5" i="8"/>
  <c r="AG3" i="8"/>
  <c r="AA13" i="22"/>
  <c r="Z18" i="22"/>
  <c r="AB15" i="20"/>
  <c r="X8" i="23"/>
  <c r="X11" i="23"/>
  <c r="X19" i="23"/>
  <c r="X32" i="23"/>
  <c r="Y5" i="23"/>
  <c r="Y5" i="17"/>
  <c r="X8" i="17"/>
  <c r="X11" i="17"/>
  <c r="X19" i="17"/>
  <c r="X32" i="17"/>
  <c r="Z18" i="21"/>
  <c r="AA13" i="21"/>
  <c r="AA18" i="21"/>
  <c r="AA13" i="13"/>
  <c r="AA18" i="13"/>
  <c r="Z18" i="13"/>
  <c r="AB17" i="20"/>
  <c r="AA13" i="23"/>
  <c r="Z18" i="23"/>
  <c r="AB18" i="20"/>
  <c r="AA13" i="14"/>
  <c r="AA18" i="14"/>
  <c r="Z18" i="14"/>
  <c r="X8" i="16"/>
  <c r="X11" i="16"/>
  <c r="X19" i="16"/>
  <c r="X32" i="16"/>
  <c r="Y5" i="16"/>
  <c r="Z10" i="20"/>
  <c r="Y11" i="20"/>
  <c r="Y20" i="20"/>
  <c r="Y33" i="20"/>
  <c r="Y5" i="14"/>
  <c r="X8" i="14"/>
  <c r="X11" i="14"/>
  <c r="X19" i="14"/>
  <c r="X32" i="14"/>
  <c r="Z18" i="16"/>
  <c r="AA13" i="16"/>
  <c r="X8" i="19"/>
  <c r="X11" i="19"/>
  <c r="X19" i="19"/>
  <c r="X32" i="19"/>
  <c r="Y5" i="19"/>
  <c r="AA13" i="19"/>
  <c r="AA18" i="19"/>
  <c r="Z18" i="19"/>
  <c r="X8" i="18"/>
  <c r="X11" i="18"/>
  <c r="X19" i="18"/>
  <c r="X32" i="18"/>
  <c r="Y5" i="18"/>
  <c r="AA13" i="17"/>
  <c r="AA18" i="17"/>
  <c r="Z18" i="17"/>
  <c r="AB16" i="20"/>
  <c r="Y5" i="15"/>
  <c r="X8" i="15"/>
  <c r="X11" i="15"/>
  <c r="X19" i="15"/>
  <c r="X32" i="15"/>
  <c r="AA13" i="20"/>
  <c r="Z19" i="20"/>
  <c r="Z18" i="15"/>
  <c r="AA13" i="15"/>
  <c r="X8" i="22"/>
  <c r="X11" i="22"/>
  <c r="X19" i="22"/>
  <c r="X32" i="22"/>
  <c r="Y5" i="22"/>
  <c r="Z18" i="18"/>
  <c r="AA13" i="18"/>
  <c r="AA18" i="18"/>
  <c r="AB14" i="20"/>
  <c r="Y5" i="21"/>
  <c r="X8" i="21"/>
  <c r="X11" i="21"/>
  <c r="X19" i="21"/>
  <c r="X32" i="21"/>
  <c r="X8" i="13"/>
  <c r="X11" i="13"/>
  <c r="X19" i="13"/>
  <c r="X32" i="13"/>
  <c r="Y5" i="13"/>
  <c r="AA13" i="12"/>
  <c r="Z18" i="12"/>
  <c r="K71" i="8"/>
  <c r="K8" i="8"/>
  <c r="K36" i="8"/>
  <c r="K15" i="8"/>
  <c r="K29" i="8"/>
  <c r="K85" i="8"/>
  <c r="K50" i="8"/>
  <c r="K64" i="8"/>
  <c r="K22" i="8"/>
  <c r="K78" i="8"/>
  <c r="Z20" i="20"/>
  <c r="Z33" i="20"/>
  <c r="Z11" i="20"/>
  <c r="AA10" i="20"/>
  <c r="U88" i="8"/>
  <c r="AH80" i="8"/>
  <c r="V99" i="8"/>
  <c r="AH73" i="8"/>
  <c r="V98" i="8"/>
  <c r="AH66" i="8"/>
  <c r="V97" i="8"/>
  <c r="AH59" i="8"/>
  <c r="V96" i="8"/>
  <c r="AH45" i="8"/>
  <c r="V94" i="8"/>
  <c r="AH31" i="8"/>
  <c r="V92" i="8"/>
  <c r="AH24" i="8"/>
  <c r="V91" i="8"/>
  <c r="AH17" i="8"/>
  <c r="V90" i="8"/>
  <c r="AH10" i="8"/>
  <c r="V89" i="8"/>
  <c r="L5" i="8"/>
  <c r="AA5" i="8"/>
  <c r="AH3" i="8"/>
  <c r="Z5" i="13"/>
  <c r="Y8" i="13"/>
  <c r="Y11" i="13"/>
  <c r="Y19" i="13"/>
  <c r="Y32" i="13"/>
  <c r="Y8" i="21"/>
  <c r="Y11" i="21"/>
  <c r="Y19" i="21"/>
  <c r="Y32" i="21"/>
  <c r="Z5" i="21"/>
  <c r="Y8" i="22"/>
  <c r="Y11" i="22"/>
  <c r="Y19" i="22"/>
  <c r="Y32" i="22"/>
  <c r="Z5" i="22"/>
  <c r="AA18" i="15"/>
  <c r="Y8" i="14"/>
  <c r="Y11" i="14"/>
  <c r="Y19" i="14"/>
  <c r="Y32" i="14"/>
  <c r="Z5" i="14"/>
  <c r="Y8" i="17"/>
  <c r="Y11" i="17"/>
  <c r="Y19" i="17"/>
  <c r="Y32" i="17"/>
  <c r="Z5" i="17"/>
  <c r="AA19" i="20"/>
  <c r="AB13" i="20"/>
  <c r="AB19" i="20"/>
  <c r="Y8" i="15"/>
  <c r="Y11" i="15"/>
  <c r="Y19" i="15"/>
  <c r="Y32" i="15"/>
  <c r="Z5" i="15"/>
  <c r="Z5" i="18"/>
  <c r="Y8" i="18"/>
  <c r="Y11" i="18"/>
  <c r="Y19" i="18"/>
  <c r="Y32" i="18"/>
  <c r="Y8" i="19"/>
  <c r="Y11" i="19"/>
  <c r="Y19" i="19"/>
  <c r="Y32" i="19"/>
  <c r="Z5" i="19"/>
  <c r="AA18" i="16"/>
  <c r="Y8" i="16"/>
  <c r="Y11" i="16"/>
  <c r="Y19" i="16"/>
  <c r="Y32" i="16"/>
  <c r="Z5" i="16"/>
  <c r="AA18" i="23"/>
  <c r="Z5" i="23"/>
  <c r="Y8" i="23"/>
  <c r="Y11" i="23"/>
  <c r="Y19" i="23"/>
  <c r="Y32" i="23"/>
  <c r="AA18" i="22"/>
  <c r="AA18" i="12"/>
  <c r="C26" i="12"/>
  <c r="L36" i="8"/>
  <c r="L85" i="8"/>
  <c r="L50" i="8"/>
  <c r="L8" i="8"/>
  <c r="L64" i="8"/>
  <c r="L15" i="8"/>
  <c r="L78" i="8"/>
  <c r="L71" i="8"/>
  <c r="L29" i="8"/>
  <c r="L22" i="8"/>
  <c r="AB10" i="20"/>
  <c r="AA11" i="20"/>
  <c r="AA20" i="20"/>
  <c r="AA33" i="20"/>
  <c r="V88" i="8"/>
  <c r="AI80" i="8"/>
  <c r="W99" i="8"/>
  <c r="AI73" i="8"/>
  <c r="W98" i="8"/>
  <c r="AI66" i="8"/>
  <c r="W97" i="8"/>
  <c r="AI59" i="8"/>
  <c r="W96" i="8"/>
  <c r="AI45" i="8"/>
  <c r="W94" i="8"/>
  <c r="AI31" i="8"/>
  <c r="W92" i="8"/>
  <c r="AI24" i="8"/>
  <c r="W91" i="8"/>
  <c r="AI17" i="8"/>
  <c r="W90" i="8"/>
  <c r="AI10" i="8"/>
  <c r="W89" i="8"/>
  <c r="M5" i="8"/>
  <c r="AB5" i="8"/>
  <c r="AI3" i="8"/>
  <c r="AA5" i="23"/>
  <c r="AA5" i="16"/>
  <c r="AA5" i="18"/>
  <c r="AA5" i="22"/>
  <c r="AA5" i="21"/>
  <c r="AA5" i="19"/>
  <c r="AA5" i="15"/>
  <c r="AA5" i="17"/>
  <c r="AA5" i="14"/>
  <c r="Z6" i="13"/>
  <c r="Z8" i="16"/>
  <c r="Z11" i="16"/>
  <c r="Z8" i="19"/>
  <c r="Z11" i="19"/>
  <c r="Z8" i="15"/>
  <c r="Z11" i="15"/>
  <c r="Z8" i="17"/>
  <c r="Z11" i="17"/>
  <c r="Z8" i="14"/>
  <c r="Z11" i="14"/>
  <c r="Z8" i="13"/>
  <c r="Z11" i="13"/>
  <c r="AA5" i="13"/>
  <c r="Z8" i="23"/>
  <c r="Z11" i="23"/>
  <c r="Z8" i="18"/>
  <c r="Z11" i="18"/>
  <c r="Z8" i="22"/>
  <c r="Z11" i="22"/>
  <c r="Z8" i="21"/>
  <c r="Z11" i="21"/>
  <c r="C25" i="12"/>
  <c r="C31" i="12"/>
  <c r="C30" i="12"/>
  <c r="C19" i="12"/>
  <c r="C28" i="12"/>
  <c r="C27" i="12"/>
  <c r="M78" i="8"/>
  <c r="M71" i="8"/>
  <c r="M22" i="8"/>
  <c r="M85" i="8"/>
  <c r="M8" i="8"/>
  <c r="M50" i="8"/>
  <c r="M15" i="8"/>
  <c r="M29" i="8"/>
  <c r="M36" i="8"/>
  <c r="M64" i="8"/>
  <c r="AC10" i="20"/>
  <c r="AC11" i="20"/>
  <c r="AC20" i="20"/>
  <c r="AC33" i="20"/>
  <c r="AB11" i="20"/>
  <c r="AB20" i="20"/>
  <c r="AB33" i="20"/>
  <c r="W88" i="8"/>
  <c r="AJ80" i="8"/>
  <c r="X99" i="8"/>
  <c r="AJ73" i="8"/>
  <c r="X98" i="8"/>
  <c r="AJ66" i="8"/>
  <c r="X97" i="8"/>
  <c r="AJ59" i="8"/>
  <c r="X96" i="8"/>
  <c r="AJ45" i="8"/>
  <c r="X94" i="8"/>
  <c r="AJ31" i="8"/>
  <c r="X92" i="8"/>
  <c r="AJ24" i="8"/>
  <c r="X91" i="8"/>
  <c r="AJ17" i="8"/>
  <c r="X90" i="8"/>
  <c r="AJ10" i="8"/>
  <c r="X89" i="8"/>
  <c r="AC5" i="8"/>
  <c r="C7" i="8"/>
  <c r="AJ3" i="8"/>
  <c r="AA8" i="17"/>
  <c r="AA11" i="17"/>
  <c r="AA19" i="17"/>
  <c r="AB5" i="17"/>
  <c r="AA8" i="19"/>
  <c r="AA11" i="19"/>
  <c r="AA19" i="19"/>
  <c r="AB5" i="19"/>
  <c r="AA8" i="22"/>
  <c r="AA11" i="22"/>
  <c r="AA19" i="22"/>
  <c r="AB5" i="22"/>
  <c r="AA8" i="16"/>
  <c r="AA11" i="16"/>
  <c r="AA19" i="16"/>
  <c r="AB5" i="16"/>
  <c r="AB5" i="13"/>
  <c r="AA6" i="13"/>
  <c r="AA8" i="14"/>
  <c r="AA11" i="14"/>
  <c r="AA19" i="14"/>
  <c r="AB5" i="14"/>
  <c r="AA8" i="15"/>
  <c r="AA11" i="15"/>
  <c r="AA19" i="15"/>
  <c r="AB5" i="15"/>
  <c r="AA8" i="21"/>
  <c r="AA11" i="21"/>
  <c r="AA19" i="21"/>
  <c r="AB5" i="21"/>
  <c r="AA8" i="18"/>
  <c r="AA11" i="18"/>
  <c r="AA19" i="18"/>
  <c r="AB5" i="18"/>
  <c r="AA8" i="23"/>
  <c r="AA11" i="23"/>
  <c r="AA19" i="23"/>
  <c r="AB5" i="23"/>
  <c r="AA8" i="13"/>
  <c r="AA11" i="13"/>
  <c r="AA19" i="13"/>
  <c r="C32" i="12"/>
  <c r="C36" i="12"/>
  <c r="C22" i="12"/>
  <c r="C5" i="12"/>
  <c r="Z19" i="22"/>
  <c r="Z32" i="22"/>
  <c r="Z19" i="18"/>
  <c r="Z32" i="18"/>
  <c r="Z19" i="14"/>
  <c r="Z32" i="14"/>
  <c r="Z19" i="17"/>
  <c r="Z32" i="17"/>
  <c r="Z19" i="21"/>
  <c r="Z32" i="21"/>
  <c r="Z19" i="23"/>
  <c r="Z32" i="23"/>
  <c r="Z19" i="13"/>
  <c r="Z32" i="13"/>
  <c r="Z19" i="15"/>
  <c r="Z32" i="15"/>
  <c r="Z19" i="19"/>
  <c r="Z32" i="19"/>
  <c r="Z19" i="16"/>
  <c r="Z32" i="16"/>
  <c r="N71" i="8"/>
  <c r="N36" i="8"/>
  <c r="N85" i="8"/>
  <c r="N15" i="8"/>
  <c r="N78" i="8"/>
  <c r="N64" i="8"/>
  <c r="N50" i="8"/>
  <c r="N8" i="8"/>
  <c r="N29" i="8"/>
  <c r="N22" i="8"/>
  <c r="X88" i="8"/>
  <c r="AK80" i="8"/>
  <c r="Y99" i="8"/>
  <c r="AK73" i="8"/>
  <c r="Y98" i="8"/>
  <c r="AK66" i="8"/>
  <c r="Y97" i="8"/>
  <c r="AK59" i="8"/>
  <c r="Y96" i="8"/>
  <c r="AK45" i="8"/>
  <c r="Y94" i="8"/>
  <c r="AK31" i="8"/>
  <c r="Y92" i="8"/>
  <c r="AK24" i="8"/>
  <c r="Y91" i="8"/>
  <c r="AK17" i="8"/>
  <c r="Y90" i="8"/>
  <c r="AK10" i="8"/>
  <c r="Y89" i="8"/>
  <c r="D7" i="8"/>
  <c r="S7" i="8"/>
  <c r="AK3" i="8"/>
  <c r="AB6" i="13"/>
  <c r="AC5" i="13"/>
  <c r="AB8" i="23"/>
  <c r="AB11" i="23"/>
  <c r="AC5" i="23"/>
  <c r="AB8" i="18"/>
  <c r="AB11" i="18"/>
  <c r="AC5" i="18"/>
  <c r="AB8" i="21"/>
  <c r="AB11" i="21"/>
  <c r="AC5" i="21"/>
  <c r="AB8" i="15"/>
  <c r="AB11" i="15"/>
  <c r="AC5" i="15"/>
  <c r="AB8" i="14"/>
  <c r="AB11" i="14"/>
  <c r="AC5" i="14"/>
  <c r="AB8" i="16"/>
  <c r="AB11" i="16"/>
  <c r="AC5" i="16"/>
  <c r="AB8" i="22"/>
  <c r="AB11" i="22"/>
  <c r="AC5" i="22"/>
  <c r="AB8" i="19"/>
  <c r="AB11" i="19"/>
  <c r="AC5" i="19"/>
  <c r="AB8" i="17"/>
  <c r="AB11" i="17"/>
  <c r="AC5" i="17"/>
  <c r="AB8" i="13"/>
  <c r="AB11" i="13"/>
  <c r="C8" i="12"/>
  <c r="D5" i="12"/>
  <c r="O8" i="8"/>
  <c r="O22" i="8"/>
  <c r="O85" i="8"/>
  <c r="O29" i="8"/>
  <c r="O64" i="8"/>
  <c r="O78" i="8"/>
  <c r="O15" i="8"/>
  <c r="O71" i="8"/>
  <c r="O36" i="8"/>
  <c r="O50" i="8"/>
  <c r="Y88" i="8"/>
  <c r="AL80" i="8"/>
  <c r="Z99" i="8"/>
  <c r="AL73" i="8"/>
  <c r="Z98" i="8"/>
  <c r="AL66" i="8"/>
  <c r="Z97" i="8"/>
  <c r="AL59" i="8"/>
  <c r="Z96" i="8"/>
  <c r="AL45" i="8"/>
  <c r="Z94" i="8"/>
  <c r="AL31" i="8"/>
  <c r="Z92" i="8"/>
  <c r="AL24" i="8"/>
  <c r="Z91" i="8"/>
  <c r="AL17" i="8"/>
  <c r="Z90" i="8"/>
  <c r="AL10" i="8"/>
  <c r="Z89" i="8"/>
  <c r="E7" i="8"/>
  <c r="T7" i="8"/>
  <c r="AL3" i="8"/>
  <c r="AC8" i="17"/>
  <c r="AC11" i="17"/>
  <c r="AD5" i="17"/>
  <c r="AC8" i="19"/>
  <c r="AC11" i="19"/>
  <c r="AD5" i="19"/>
  <c r="AC8" i="22"/>
  <c r="AC11" i="22"/>
  <c r="AD5" i="22"/>
  <c r="AC8" i="16"/>
  <c r="AC11" i="16"/>
  <c r="AD5" i="16"/>
  <c r="AC8" i="14"/>
  <c r="AC11" i="14"/>
  <c r="AD5" i="14"/>
  <c r="AC8" i="15"/>
  <c r="AC11" i="15"/>
  <c r="AD5" i="15"/>
  <c r="AC8" i="21"/>
  <c r="AC11" i="21"/>
  <c r="AD5" i="21"/>
  <c r="AC8" i="18"/>
  <c r="AC11" i="18"/>
  <c r="AD5" i="18"/>
  <c r="AC8" i="23"/>
  <c r="AC11" i="23"/>
  <c r="AD5" i="23"/>
  <c r="AD5" i="13"/>
  <c r="AC6" i="13"/>
  <c r="AC8" i="13"/>
  <c r="AC11" i="13"/>
  <c r="D8" i="12"/>
  <c r="D11" i="12"/>
  <c r="D19" i="12"/>
  <c r="D32" i="12"/>
  <c r="E5" i="12"/>
  <c r="P8" i="8"/>
  <c r="P78" i="8"/>
  <c r="P29" i="8"/>
  <c r="P64" i="8"/>
  <c r="P36" i="8"/>
  <c r="P15" i="8"/>
  <c r="P50" i="8"/>
  <c r="P22" i="8"/>
  <c r="P85" i="8"/>
  <c r="P71" i="8"/>
  <c r="Z88" i="8"/>
  <c r="AM80" i="8"/>
  <c r="AA99" i="8"/>
  <c r="AM73" i="8"/>
  <c r="AM66" i="8"/>
  <c r="AM59" i="8"/>
  <c r="AM45" i="8"/>
  <c r="AM31" i="8"/>
  <c r="AM24" i="8"/>
  <c r="AM17" i="8"/>
  <c r="AA90" i="8"/>
  <c r="AM10" i="8"/>
  <c r="AA89" i="8"/>
  <c r="F7" i="8"/>
  <c r="U7" i="8"/>
  <c r="AM3" i="8"/>
  <c r="AD6" i="13"/>
  <c r="E8" i="12"/>
  <c r="E11" i="12"/>
  <c r="E19" i="12"/>
  <c r="E32" i="12"/>
  <c r="E34" i="12"/>
  <c r="F5" i="12"/>
  <c r="C41" i="8"/>
  <c r="N80" i="8"/>
  <c r="N10" i="8"/>
  <c r="N17" i="8"/>
  <c r="AA88" i="8"/>
  <c r="N31" i="8"/>
  <c r="AA92" i="8"/>
  <c r="N59" i="8"/>
  <c r="AA96" i="8"/>
  <c r="N73" i="8"/>
  <c r="AA98" i="8"/>
  <c r="N24" i="8"/>
  <c r="AA91" i="8"/>
  <c r="N45" i="8"/>
  <c r="AA94" i="8"/>
  <c r="N66" i="8"/>
  <c r="AA97" i="8"/>
  <c r="O38" i="8"/>
  <c r="C93" i="8"/>
  <c r="N3" i="8"/>
  <c r="G7" i="8"/>
  <c r="V7" i="8"/>
  <c r="F8" i="12"/>
  <c r="F11" i="12"/>
  <c r="F19" i="12"/>
  <c r="F32" i="12"/>
  <c r="F34" i="12"/>
  <c r="G5" i="12"/>
  <c r="D41" i="8"/>
  <c r="P38" i="8"/>
  <c r="D93" i="8"/>
  <c r="H7" i="8"/>
  <c r="W7" i="8"/>
  <c r="G8" i="12"/>
  <c r="G11" i="12"/>
  <c r="G19" i="12"/>
  <c r="G32" i="12"/>
  <c r="G34" i="12"/>
  <c r="H5" i="12"/>
  <c r="E41" i="8"/>
  <c r="Q38" i="8"/>
  <c r="E93" i="8"/>
  <c r="I7" i="8"/>
  <c r="X7" i="8"/>
  <c r="H8" i="12"/>
  <c r="H11" i="12"/>
  <c r="H19" i="12"/>
  <c r="H32" i="12"/>
  <c r="H34" i="12"/>
  <c r="I5" i="12"/>
  <c r="F41" i="8"/>
  <c r="R38" i="8"/>
  <c r="F93" i="8"/>
  <c r="J7" i="8"/>
  <c r="Y7" i="8"/>
  <c r="J5" i="12"/>
  <c r="I8" i="12"/>
  <c r="I11" i="12"/>
  <c r="I19" i="12"/>
  <c r="I32" i="12"/>
  <c r="I34" i="12"/>
  <c r="G41" i="8"/>
  <c r="S38" i="8"/>
  <c r="G93" i="8"/>
  <c r="K7" i="8"/>
  <c r="Z7" i="8"/>
  <c r="J8" i="12"/>
  <c r="J11" i="12"/>
  <c r="J19" i="12"/>
  <c r="J32" i="12"/>
  <c r="J34" i="12"/>
  <c r="K5" i="12"/>
  <c r="H41" i="8"/>
  <c r="T38" i="8"/>
  <c r="H93" i="8"/>
  <c r="L7" i="8"/>
  <c r="AA7" i="8"/>
  <c r="K8" i="12"/>
  <c r="K11" i="12"/>
  <c r="K19" i="12"/>
  <c r="K32" i="12"/>
  <c r="L5" i="12"/>
  <c r="I41" i="8"/>
  <c r="U38" i="8"/>
  <c r="I93" i="8"/>
  <c r="M7" i="8"/>
  <c r="AC7" i="8"/>
  <c r="AB7" i="8"/>
  <c r="M5" i="12"/>
  <c r="L8" i="12"/>
  <c r="L11" i="12"/>
  <c r="L19" i="12"/>
  <c r="L32" i="12"/>
  <c r="J41" i="8"/>
  <c r="V38" i="8"/>
  <c r="J93" i="8"/>
  <c r="N5" i="12"/>
  <c r="M8" i="12"/>
  <c r="M11" i="12"/>
  <c r="M19" i="12"/>
  <c r="M32" i="12"/>
  <c r="K41" i="8"/>
  <c r="W38" i="8"/>
  <c r="K93" i="8"/>
  <c r="O5" i="12"/>
  <c r="N8" i="12"/>
  <c r="N11" i="12"/>
  <c r="N19" i="12"/>
  <c r="N32" i="12"/>
  <c r="L41" i="8"/>
  <c r="X38" i="8"/>
  <c r="L93" i="8"/>
  <c r="P5" i="12"/>
  <c r="O8" i="12"/>
  <c r="O11" i="12"/>
  <c r="O19" i="12"/>
  <c r="O32" i="12"/>
  <c r="M41" i="8"/>
  <c r="Y38" i="8"/>
  <c r="M93" i="8"/>
  <c r="P8" i="12"/>
  <c r="P11" i="12"/>
  <c r="P19" i="12"/>
  <c r="P32" i="12"/>
  <c r="Q5" i="12"/>
  <c r="C43" i="8"/>
  <c r="Z38" i="8"/>
  <c r="N93" i="8"/>
  <c r="Q8" i="12"/>
  <c r="Q11" i="12"/>
  <c r="Q19" i="12"/>
  <c r="Q32" i="12"/>
  <c r="R5" i="12"/>
  <c r="D43" i="8"/>
  <c r="AA38" i="8"/>
  <c r="O93" i="8"/>
  <c r="S5" i="12"/>
  <c r="R8" i="12"/>
  <c r="R11" i="12"/>
  <c r="R19" i="12"/>
  <c r="R32" i="12"/>
  <c r="E43" i="8"/>
  <c r="AB38" i="8"/>
  <c r="P93" i="8"/>
  <c r="T5" i="12"/>
  <c r="S8" i="12"/>
  <c r="S11" i="12"/>
  <c r="S19" i="12"/>
  <c r="S32" i="12"/>
  <c r="F43" i="8"/>
  <c r="AC38" i="8"/>
  <c r="Q93" i="8"/>
  <c r="T8" i="12"/>
  <c r="T11" i="12"/>
  <c r="T19" i="12"/>
  <c r="T32" i="12"/>
  <c r="U5" i="12"/>
  <c r="G43" i="8"/>
  <c r="AD38" i="8"/>
  <c r="R93" i="8"/>
  <c r="U8" i="12"/>
  <c r="U11" i="12"/>
  <c r="U19" i="12"/>
  <c r="U32" i="12"/>
  <c r="V5" i="12"/>
  <c r="H43" i="8"/>
  <c r="AE38" i="8"/>
  <c r="S93" i="8"/>
  <c r="V8" i="12"/>
  <c r="V11" i="12"/>
  <c r="V19" i="12"/>
  <c r="V32" i="12"/>
  <c r="W5" i="12"/>
  <c r="I43" i="8"/>
  <c r="AF38" i="8"/>
  <c r="T93" i="8"/>
  <c r="W8" i="12"/>
  <c r="W11" i="12"/>
  <c r="W19" i="12"/>
  <c r="W32" i="12"/>
  <c r="X5" i="12"/>
  <c r="D34" i="12"/>
  <c r="C37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J43" i="8"/>
  <c r="AG38" i="8"/>
  <c r="U93" i="8"/>
  <c r="X8" i="12"/>
  <c r="X11" i="12"/>
  <c r="X19" i="12"/>
  <c r="X32" i="12"/>
  <c r="Y5" i="12"/>
  <c r="K43" i="8"/>
  <c r="AH38" i="8"/>
  <c r="V93" i="8"/>
  <c r="Y8" i="12"/>
  <c r="Y11" i="12"/>
  <c r="Y19" i="12"/>
  <c r="Y32" i="12"/>
  <c r="Z5" i="12"/>
  <c r="L43" i="8"/>
  <c r="AI38" i="8"/>
  <c r="W93" i="8"/>
  <c r="AA5" i="12"/>
  <c r="Z8" i="12"/>
  <c r="Z11" i="12"/>
  <c r="M43" i="8"/>
  <c r="AJ38" i="8"/>
  <c r="X93" i="8"/>
  <c r="AA8" i="12"/>
  <c r="AA11" i="12"/>
  <c r="AB5" i="12"/>
  <c r="AA19" i="12"/>
  <c r="Z19" i="12"/>
  <c r="Z32" i="12"/>
  <c r="N43" i="8"/>
  <c r="AK38" i="8"/>
  <c r="Y93" i="8"/>
  <c r="AB8" i="12"/>
  <c r="AB11" i="12"/>
  <c r="AC5" i="12"/>
  <c r="O43" i="8"/>
  <c r="AL38" i="8"/>
  <c r="Z93" i="8"/>
  <c r="AC8" i="12"/>
  <c r="AC11" i="12"/>
  <c r="AD5" i="12"/>
  <c r="P43" i="8"/>
  <c r="AM38" i="8"/>
  <c r="N38" i="8"/>
  <c r="AA93" i="8"/>
  <c r="BY13" i="24"/>
  <c r="CE13" i="24"/>
  <c r="BV13" i="24"/>
  <c r="BZ8" i="24"/>
  <c r="BX13" i="24"/>
  <c r="BT13" i="24"/>
  <c r="BU13" i="24"/>
  <c r="CC13" i="24"/>
  <c r="BR13" i="24"/>
  <c r="BZ18" i="24"/>
  <c r="CD13" i="24"/>
  <c r="CB13" i="24"/>
  <c r="BS13" i="24"/>
  <c r="BZ13" i="24"/>
  <c r="BS8" i="24"/>
  <c r="CB8" i="24"/>
  <c r="CA18" i="24"/>
  <c r="CE18" i="24"/>
  <c r="BQ18" i="24"/>
  <c r="BW13" i="24"/>
  <c r="BQ13" i="24"/>
  <c r="BW8" i="24"/>
  <c r="BQ8" i="24"/>
  <c r="BZ23" i="24"/>
  <c r="CB23" i="24"/>
  <c r="BY23" i="24"/>
  <c r="CC23" i="24"/>
  <c r="BP18" i="24"/>
  <c r="BV8" i="24"/>
  <c r="CB18" i="24"/>
  <c r="CD18" i="24"/>
  <c r="BU18" i="24"/>
  <c r="BT18" i="24"/>
  <c r="CD8" i="24"/>
  <c r="BX8" i="24"/>
  <c r="BT8" i="24"/>
  <c r="CA13" i="24"/>
  <c r="CF8" i="24"/>
  <c r="CC18" i="24"/>
  <c r="BS18" i="24"/>
  <c r="BW18" i="24"/>
  <c r="CE8" i="24"/>
  <c r="CF18" i="24"/>
  <c r="BR18" i="24"/>
  <c r="BV18" i="24"/>
  <c r="CC8" i="24"/>
  <c r="BQ23" i="24"/>
  <c r="BP8" i="24"/>
  <c r="BY18" i="24"/>
  <c r="BX18" i="24"/>
  <c r="BR8" i="24"/>
  <c r="CA8" i="24"/>
  <c r="BY8" i="24"/>
  <c r="BU8" i="24"/>
  <c r="CF13" i="24"/>
  <c r="BZ28" i="24"/>
  <c r="CD28" i="24"/>
  <c r="CK18" i="24"/>
  <c r="CA23" i="24"/>
  <c r="CA28" i="24"/>
  <c r="BR23" i="24"/>
  <c r="BV23" i="24"/>
  <c r="BP23" i="24"/>
  <c r="BX23" i="24"/>
  <c r="CG8" i="24"/>
  <c r="BP13" i="24"/>
  <c r="CE23" i="24"/>
  <c r="CE28" i="24"/>
  <c r="BQ28" i="24"/>
  <c r="CF23" i="24"/>
  <c r="CG18" i="24"/>
  <c r="BT23" i="24"/>
  <c r="CD23" i="24"/>
  <c r="BS23" i="24"/>
  <c r="BU23" i="24"/>
  <c r="BW23" i="24"/>
  <c r="CG13" i="24"/>
  <c r="CA33" i="24"/>
  <c r="CB33" i="24"/>
  <c r="BZ33" i="24"/>
  <c r="CG23" i="24"/>
  <c r="CH18" i="24"/>
  <c r="BP28" i="24"/>
  <c r="BT28" i="24"/>
  <c r="BQ33" i="24"/>
  <c r="CH8" i="24"/>
  <c r="CH13" i="24"/>
  <c r="CJ18" i="24"/>
  <c r="CB28" i="24"/>
  <c r="BU28" i="24"/>
  <c r="BW28" i="24"/>
  <c r="BV28" i="24"/>
  <c r="BV33" i="24"/>
  <c r="CF28" i="24"/>
  <c r="BR28" i="24"/>
  <c r="CC28" i="24"/>
  <c r="CK23" i="24"/>
  <c r="BS28" i="24"/>
  <c r="BY28" i="24"/>
  <c r="BX28" i="24"/>
  <c r="CE33" i="24"/>
  <c r="CJ8" i="24"/>
  <c r="CI13" i="24"/>
  <c r="CE38" i="24"/>
  <c r="CK28" i="24"/>
  <c r="CK8" i="24"/>
  <c r="BP33" i="24"/>
  <c r="BS33" i="24"/>
  <c r="BU33" i="24"/>
  <c r="BR33" i="24"/>
  <c r="BT33" i="24"/>
  <c r="BW33" i="24"/>
  <c r="CC33" i="24"/>
  <c r="CH23" i="24"/>
  <c r="CF33" i="24"/>
  <c r="CJ23" i="24"/>
  <c r="BX33" i="24"/>
  <c r="CI8" i="24"/>
  <c r="BY33" i="24"/>
  <c r="CD33" i="24"/>
  <c r="CK13" i="24"/>
  <c r="BR38" i="24"/>
  <c r="BS38" i="24"/>
  <c r="CG28" i="24"/>
  <c r="BT38" i="24"/>
  <c r="CJ13" i="24"/>
  <c r="BW43" i="24"/>
  <c r="CK33" i="24"/>
  <c r="CA38" i="24"/>
  <c r="BV38" i="24"/>
  <c r="CN15" i="24"/>
  <c r="D6" i="26"/>
  <c r="CJ28" i="24"/>
  <c r="CH28" i="24"/>
  <c r="BX38" i="24"/>
  <c r="CG33" i="24"/>
  <c r="BU38" i="24"/>
  <c r="BY38" i="24"/>
  <c r="BQ38" i="24"/>
  <c r="BX43" i="24"/>
  <c r="BW38" i="24"/>
  <c r="CI18" i="24"/>
  <c r="CL13" i="24"/>
  <c r="BZ43" i="24"/>
  <c r="BQ43" i="24"/>
  <c r="CG38" i="24"/>
  <c r="CC38" i="24"/>
  <c r="CL23" i="24"/>
  <c r="BW48" i="24"/>
  <c r="CF38" i="24"/>
  <c r="CN10" i="24"/>
  <c r="D5" i="26"/>
  <c r="CN11" i="24"/>
  <c r="E5" i="26"/>
  <c r="CN5" i="24"/>
  <c r="D4" i="26"/>
  <c r="BZ38" i="24"/>
  <c r="CJ33" i="24"/>
  <c r="CL18" i="24"/>
  <c r="CN22" i="24"/>
  <c r="F7" i="26"/>
  <c r="CD38" i="24"/>
  <c r="CB38" i="24"/>
  <c r="BU43" i="24"/>
  <c r="CL8" i="24"/>
  <c r="CN17" i="24"/>
  <c r="F6" i="26"/>
  <c r="CN12" i="24"/>
  <c r="F5" i="26"/>
  <c r="CN7" i="24"/>
  <c r="F4" i="26"/>
  <c r="CN6" i="24"/>
  <c r="E4" i="26"/>
  <c r="BR43" i="24"/>
  <c r="CI23" i="24"/>
  <c r="CH33" i="24"/>
  <c r="CE48" i="24"/>
  <c r="CA43" i="24"/>
  <c r="BY43" i="24"/>
  <c r="BV43" i="24"/>
  <c r="BT43" i="24"/>
  <c r="CN20" i="24"/>
  <c r="D7" i="26"/>
  <c r="BS43" i="24"/>
  <c r="BY48" i="24"/>
  <c r="CE53" i="24"/>
  <c r="CM23" i="24"/>
  <c r="CE43" i="24"/>
  <c r="BX48" i="24"/>
  <c r="CN21" i="24"/>
  <c r="E7" i="26"/>
  <c r="CN25" i="24"/>
  <c r="D8" i="26"/>
  <c r="CI28" i="24"/>
  <c r="CN16" i="24"/>
  <c r="E6" i="26"/>
  <c r="CM18" i="24"/>
  <c r="CB43" i="24"/>
  <c r="CC43" i="24"/>
  <c r="BR48" i="24"/>
  <c r="BQ48" i="24"/>
  <c r="CA48" i="24"/>
  <c r="BZ48" i="24"/>
  <c r="BV48" i="24"/>
  <c r="CM13" i="24"/>
  <c r="CD43" i="24"/>
  <c r="CD48" i="24"/>
  <c r="BP38" i="24"/>
  <c r="BT48" i="24"/>
  <c r="BU48" i="24"/>
  <c r="CF43" i="24"/>
  <c r="BS48" i="24"/>
  <c r="CM8" i="24"/>
  <c r="BS53" i="24"/>
  <c r="CC53" i="24"/>
  <c r="CB53" i="24"/>
  <c r="CH43" i="24"/>
  <c r="BY58" i="24"/>
  <c r="CH38" i="24"/>
  <c r="CD53" i="24"/>
  <c r="BQ53" i="24"/>
  <c r="BR53" i="24"/>
  <c r="CG43" i="24"/>
  <c r="BV53" i="24"/>
  <c r="BT53" i="24"/>
  <c r="BP43" i="24"/>
  <c r="BU53" i="24"/>
  <c r="BR58" i="24"/>
  <c r="CC48" i="24"/>
  <c r="BY53" i="24"/>
  <c r="BW53" i="24"/>
  <c r="BV58" i="24"/>
  <c r="CK38" i="24"/>
  <c r="CE63" i="24"/>
  <c r="CN30" i="24"/>
  <c r="D9" i="26"/>
  <c r="BX53" i="24"/>
  <c r="BU58" i="24"/>
  <c r="CF48" i="24"/>
  <c r="CL28" i="24"/>
  <c r="CI33" i="24"/>
  <c r="CB48" i="24"/>
  <c r="CN27" i="24"/>
  <c r="F8" i="26"/>
  <c r="BW63" i="24"/>
  <c r="BT58" i="24"/>
  <c r="CC63" i="24"/>
  <c r="CA58" i="24"/>
  <c r="BS58" i="24"/>
  <c r="BZ58" i="24"/>
  <c r="BX58" i="24"/>
  <c r="BT63" i="24"/>
  <c r="BP48" i="24"/>
  <c r="BX63" i="24"/>
  <c r="CB58" i="24"/>
  <c r="CN26" i="24"/>
  <c r="E8" i="26"/>
  <c r="CM28" i="24"/>
  <c r="CE58" i="24"/>
  <c r="BP53" i="24"/>
  <c r="CN32" i="24"/>
  <c r="F9" i="26"/>
  <c r="BZ63" i="24"/>
  <c r="CK48" i="24"/>
  <c r="CG48" i="24"/>
  <c r="CL33" i="24"/>
  <c r="BW58" i="24"/>
  <c r="BQ58" i="24"/>
  <c r="CJ38" i="24"/>
  <c r="CA53" i="24"/>
  <c r="BZ53" i="24"/>
  <c r="BV63" i="24"/>
  <c r="CJ48" i="24"/>
  <c r="BU63" i="24"/>
  <c r="CF53" i="24"/>
  <c r="BS63" i="24"/>
  <c r="BY63" i="24"/>
  <c r="CK53" i="24"/>
  <c r="CI38" i="24"/>
  <c r="CI43" i="24"/>
  <c r="CN36" i="24"/>
  <c r="E10" i="26"/>
  <c r="BQ63" i="24"/>
  <c r="BR63" i="24"/>
  <c r="CD58" i="24"/>
  <c r="CC58" i="24"/>
  <c r="CN31" i="24"/>
  <c r="E9" i="26"/>
  <c r="CM33" i="24"/>
  <c r="CJ43" i="24"/>
  <c r="CN37" i="24"/>
  <c r="F10" i="26"/>
  <c r="CF58" i="24"/>
  <c r="CD63" i="24"/>
  <c r="CA63" i="24"/>
  <c r="CG53" i="24"/>
  <c r="CL38" i="24"/>
  <c r="BP58" i="24"/>
  <c r="CN41" i="24"/>
  <c r="E11" i="26"/>
  <c r="CN35" i="24"/>
  <c r="D10" i="26"/>
  <c r="CN46" i="24"/>
  <c r="E12" i="26"/>
  <c r="CH48" i="24"/>
  <c r="CN42" i="24"/>
  <c r="F11" i="26"/>
  <c r="CF63" i="24"/>
  <c r="CB63" i="24"/>
  <c r="CG58" i="24"/>
  <c r="CK43" i="24"/>
  <c r="CJ53" i="24"/>
  <c r="CM38" i="24"/>
  <c r="CH53" i="24"/>
  <c r="CL48" i="24"/>
  <c r="CI53" i="24"/>
  <c r="CM48" i="24"/>
  <c r="CL43" i="24"/>
  <c r="CN47" i="24"/>
  <c r="F12" i="26"/>
  <c r="BP63" i="24"/>
  <c r="CG63" i="24"/>
  <c r="CM43" i="24"/>
  <c r="CN45" i="24"/>
  <c r="D12" i="26"/>
  <c r="CM53" i="24"/>
  <c r="CN40" i="24"/>
  <c r="D11" i="26"/>
  <c r="CK63" i="24"/>
  <c r="CN52" i="24"/>
  <c r="F13" i="26"/>
  <c r="CI48" i="24"/>
  <c r="CH58" i="24"/>
  <c r="CI58" i="24"/>
  <c r="CN50" i="24"/>
  <c r="D13" i="26"/>
  <c r="CN51" i="24"/>
  <c r="E13" i="26"/>
  <c r="CJ63" i="24"/>
  <c r="CH63" i="24"/>
  <c r="CJ58" i="24"/>
  <c r="CL53" i="24"/>
  <c r="CN61" i="24"/>
  <c r="E15" i="26"/>
  <c r="CL58" i="24"/>
  <c r="CK58" i="24"/>
  <c r="CI63" i="24"/>
  <c r="CN57" i="24"/>
  <c r="F14" i="26"/>
  <c r="CN56" i="24"/>
  <c r="E14" i="26"/>
  <c r="CL63" i="24"/>
  <c r="CN55" i="24"/>
  <c r="D14" i="26"/>
  <c r="CN60" i="24"/>
  <c r="D15" i="26"/>
  <c r="CN62" i="24"/>
  <c r="F15" i="26"/>
  <c r="CM58" i="24"/>
  <c r="CM63" i="24"/>
  <c r="O4" i="5"/>
  <c r="AC4" i="5"/>
  <c r="AC5" i="5"/>
</calcChain>
</file>

<file path=xl/comments1.xml><?xml version="1.0" encoding="utf-8"?>
<comments xmlns="http://schemas.openxmlformats.org/spreadsheetml/2006/main">
  <authors>
    <author>Bruno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default value set to the same as SA. Actual values not published anywhere.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0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2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The Supply value should be equal to the demand value. Differences may arise from the fact that AR 2008 is a March - Feb figure, and other accounting difference.</t>
        </r>
      </text>
    </comment>
    <comment ref="C32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Stats/SAPP Pool Plan.</t>
        </r>
      </text>
    </comment>
    <comment ref="C36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Check1 = Peak - domestic capacity</t>
        </r>
      </text>
    </comment>
    <comment ref="D36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Check2 = 
energy /(CF*8.76)</t>
        </r>
      </text>
    </comment>
    <comment ref="D41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53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From supply calcs, Benguela added</t>
        </r>
      </text>
    </comment>
  </commentList>
</comments>
</file>

<file path=xl/comments10.xml><?xml version="1.0" encoding="utf-8"?>
<comments xmlns="http://schemas.openxmlformats.org/spreadsheetml/2006/main">
  <authors>
    <author>Bruno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default value set to the same as SA. Actual values not published anywhere.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0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2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The Supply value should be equal to the demand value. Differences may arise from the fact that AR 2008 is a March - Feb figure, and other accounting difference.</t>
        </r>
      </text>
    </comment>
    <comment ref="C32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Stats/SAPP Pool Plan.</t>
        </r>
      </text>
    </comment>
    <comment ref="C36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Check1 = Peak - domestic capacity</t>
        </r>
      </text>
    </comment>
    <comment ref="D36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Check2 = 
energy /(CF*8.76)</t>
        </r>
      </text>
    </comment>
    <comment ref="D41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53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From supply calcs</t>
        </r>
      </text>
    </comment>
  </commentList>
</comments>
</file>

<file path=xl/comments11.xml><?xml version="1.0" encoding="utf-8"?>
<comments xmlns="http://schemas.openxmlformats.org/spreadsheetml/2006/main">
  <authors>
    <author>Bruno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default value set to the same as SA. Actual values not published anywhere.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0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2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The Supply value should be equal to the demand value. Differences may arise from the fact that AR 2008 is a March - Feb figure, and other accounting difference.</t>
        </r>
      </text>
    </comment>
    <comment ref="C32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Stats/SAPP Pool Plan.</t>
        </r>
      </text>
    </comment>
    <comment ref="C36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Check1 = Peak - domestic capacity</t>
        </r>
      </text>
    </comment>
    <comment ref="D36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Check2 = 
energy /(CF*8.76)</t>
        </r>
      </text>
    </comment>
    <comment ref="D41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53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From supply calcs</t>
        </r>
      </text>
    </comment>
  </commentList>
</comments>
</file>

<file path=xl/comments12.xml><?xml version="1.0" encoding="utf-8"?>
<comments xmlns="http://schemas.openxmlformats.org/spreadsheetml/2006/main">
  <authors>
    <author>Bruno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default value set to the same as SA. Actual values not published anywhere.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0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2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The Supply value should be equal to the demand value. Differences may arise from the fact that AR 2008 is a March - Feb figure, and other accounting difference.</t>
        </r>
      </text>
    </comment>
    <comment ref="C32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Stats/SAPP Pool Plan.</t>
        </r>
      </text>
    </comment>
    <comment ref="C36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Check1 = Peak - domestic capacity</t>
        </r>
      </text>
    </comment>
    <comment ref="D36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Check2 = 
energy /(CF*8.76)</t>
        </r>
      </text>
    </comment>
    <comment ref="D41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53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From supply calcs</t>
        </r>
      </text>
    </comment>
  </commentList>
</comments>
</file>

<file path=xl/comments13.xml><?xml version="1.0" encoding="utf-8"?>
<comments xmlns="http://schemas.openxmlformats.org/spreadsheetml/2006/main">
  <authors>
    <author>Bruno Merven</author>
  </authors>
  <commentList>
    <comment ref="N3" authorId="0">
      <text>
        <r>
          <rPr>
            <b/>
            <sz val="8"/>
            <color indexed="81"/>
            <rFont val="Tahoma"/>
            <family val="2"/>
          </rPr>
          <t>Bruno Merven:</t>
        </r>
        <r>
          <rPr>
            <sz val="8"/>
            <color indexed="81"/>
            <rFont val="Tahoma"/>
            <family val="2"/>
          </rPr>
          <t xml:space="preserve">
based on energy balance in 2005</t>
        </r>
      </text>
    </comment>
    <comment ref="AB4" authorId="0">
      <text>
        <r>
          <rPr>
            <b/>
            <sz val="8"/>
            <color indexed="81"/>
            <rFont val="Tahoma"/>
            <family val="2"/>
          </rPr>
          <t>Bruno Merven:</t>
        </r>
        <r>
          <rPr>
            <sz val="8"/>
            <color indexed="81"/>
            <rFont val="Tahoma"/>
            <family val="2"/>
          </rPr>
          <t xml:space="preserve">
historical growth rate based on Presentation made by Mr Ikhupuleng Dube, System Development Manager – Zimbabwe Electricity and Transmission Company (ZETDC), a subsidiary of ZESA Holdings (Pvt) Ltd
31st May– 1st  June 2011
world bank workshop.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Bruno Merven:</t>
        </r>
        <r>
          <rPr>
            <sz val="8"/>
            <color indexed="81"/>
            <rFont val="Tahoma"/>
            <family val="2"/>
          </rPr>
          <t xml:space="preserve">
SAPP stats 2010 (AR2011) - assumes Uranium mining project suspended.
http://www.wise-uranium.org/upnatrk.html</t>
        </r>
      </text>
    </comment>
    <comment ref="AA8" authorId="0">
      <text>
        <r>
          <rPr>
            <b/>
            <sz val="8"/>
            <color indexed="81"/>
            <rFont val="Tahoma"/>
            <family val="2"/>
          </rPr>
          <t>Bruno Merven:</t>
        </r>
        <r>
          <rPr>
            <sz val="8"/>
            <color indexed="81"/>
            <rFont val="Tahoma"/>
            <family val="2"/>
          </rPr>
          <t xml:space="preserve">
loosely based on Zambian presentation in Malawi in April 2012 - IAEA training</t>
        </r>
      </text>
    </comment>
    <comment ref="Z13" authorId="0">
      <text>
        <r>
          <rPr>
            <b/>
            <sz val="8"/>
            <color indexed="81"/>
            <rFont val="Tahoma"/>
            <family val="2"/>
          </rPr>
          <t>Bruno Merven:</t>
        </r>
        <r>
          <rPr>
            <sz val="8"/>
            <color indexed="81"/>
            <rFont val="Tahoma"/>
            <family val="2"/>
          </rPr>
          <t xml:space="preserve">
PSMP 2009 (power master plan for Tanzania)</t>
        </r>
      </text>
    </comment>
    <comment ref="AB13" authorId="0">
      <text>
        <r>
          <rPr>
            <b/>
            <sz val="8"/>
            <color indexed="81"/>
            <rFont val="Tahoma"/>
            <family val="2"/>
          </rPr>
          <t>Bruno Merven:</t>
        </r>
        <r>
          <rPr>
            <sz val="8"/>
            <color indexed="81"/>
            <rFont val="Tahoma"/>
            <family val="2"/>
          </rPr>
          <t xml:space="preserve">
loosely based on Zimbabwe presentation in Malawi April 2012 - IAEA MESSAGE training.</t>
        </r>
      </text>
    </comment>
  </commentList>
</comments>
</file>

<file path=xl/comments14.xml><?xml version="1.0" encoding="utf-8"?>
<comments xmlns="http://schemas.openxmlformats.org/spreadsheetml/2006/main">
  <authors>
    <author>Bruno</author>
    <author>Bruno Merven</author>
  </authors>
  <commentList>
    <comment ref="H2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These figures cannot be used as it is not clear how much is sold before and after distribution, and whether exports are included/excluded.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net capacity that are very different from the SAPP pool plan data are maked in red.</t>
        </r>
      </text>
    </comment>
    <comment ref="J9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Cahora Bassa added</t>
        </r>
      </text>
    </comment>
    <comment ref="K9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exports of SA to MOZ from Eskom annual report.</t>
        </r>
      </text>
    </comment>
    <comment ref="L9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was 309 - Cahora Bassa imports from SA added.</t>
        </r>
      </text>
    </comment>
    <comment ref="L16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Difference between sum of exports and imports can be attributed to losses, and accounting errors/differences.</t>
        </r>
      </text>
    </comment>
    <comment ref="R18" authorId="1">
      <text>
        <r>
          <rPr>
            <b/>
            <sz val="8"/>
            <color indexed="81"/>
            <rFont val="Tahoma"/>
            <family val="2"/>
          </rPr>
          <t>Bruno Merven:</t>
        </r>
        <r>
          <rPr>
            <sz val="8"/>
            <color indexed="81"/>
            <rFont val="Tahoma"/>
            <family val="2"/>
          </rPr>
          <t xml:space="preserve">
Assumes that transmission losses &gt; 5% to come down to 5% in the future.</t>
        </r>
      </text>
    </comment>
    <comment ref="S22" authorId="1">
      <text>
        <r>
          <rPr>
            <b/>
            <sz val="8"/>
            <color indexed="81"/>
            <rFont val="Tahoma"/>
            <family val="2"/>
          </rPr>
          <t>Bruno Merven:</t>
        </r>
        <r>
          <rPr>
            <sz val="8"/>
            <color indexed="81"/>
            <rFont val="Tahoma"/>
            <family val="2"/>
          </rPr>
          <t xml:space="preserve">
Malawi MAED-EL Model</t>
        </r>
      </text>
    </comment>
    <comment ref="S25" authorId="1">
      <text>
        <r>
          <rPr>
            <b/>
            <sz val="8"/>
            <color indexed="81"/>
            <rFont val="Tahoma"/>
            <family val="2"/>
          </rPr>
          <t>Bruno Merven:</t>
        </r>
        <r>
          <rPr>
            <sz val="8"/>
            <color indexed="81"/>
            <rFont val="Tahoma"/>
            <family val="2"/>
          </rPr>
          <t xml:space="preserve">
ESI stats 2006 - see figure below</t>
        </r>
      </text>
    </comment>
    <comment ref="S27" authorId="1">
      <text>
        <r>
          <rPr>
            <b/>
            <sz val="8"/>
            <color indexed="81"/>
            <rFont val="Tahoma"/>
            <family val="2"/>
          </rPr>
          <t>Bruno Merven:</t>
        </r>
        <r>
          <rPr>
            <sz val="8"/>
            <color indexed="81"/>
            <rFont val="Tahoma"/>
            <family val="2"/>
          </rPr>
          <t xml:space="preserve">
Tanzania MESSAGE model</t>
        </r>
      </text>
    </comment>
    <comment ref="S28" authorId="1">
      <text>
        <r>
          <rPr>
            <b/>
            <sz val="8"/>
            <color indexed="81"/>
            <rFont val="Tahoma"/>
            <family val="2"/>
          </rPr>
          <t>Bruno Merven:</t>
        </r>
        <r>
          <rPr>
            <sz val="8"/>
            <color indexed="81"/>
            <rFont val="Tahoma"/>
            <family val="2"/>
          </rPr>
          <t xml:space="preserve">
Zambian model</t>
        </r>
      </text>
    </comment>
  </commentList>
</comments>
</file>

<file path=xl/comments2.xml><?xml version="1.0" encoding="utf-8"?>
<comments xmlns="http://schemas.openxmlformats.org/spreadsheetml/2006/main">
  <authors>
    <author>Bruno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default value set to the same as SA. Actual values not published anywhere.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0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2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The Supply value should be equal to the demand value. Differences may arise from the fact that AR 2008 is a March - Feb figure, and other accounting difference.</t>
        </r>
      </text>
    </comment>
    <comment ref="C32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Stats/SAPP Pool Plan.</t>
        </r>
      </text>
    </comment>
    <comment ref="C36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Check1 = Peak - domestic capacity</t>
        </r>
      </text>
    </comment>
    <comment ref="D36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Check2 = 
energy /(CF*8.76)</t>
        </r>
      </text>
    </comment>
    <comment ref="D41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53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From supply calcs</t>
        </r>
      </text>
    </comment>
  </commentList>
</comments>
</file>

<file path=xl/comments3.xml><?xml version="1.0" encoding="utf-8"?>
<comments xmlns="http://schemas.openxmlformats.org/spreadsheetml/2006/main">
  <authors>
    <author>Bruno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default value set to the same as SA. Actual values not published anywhere.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0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2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The Supply value should be equal to the demand value. Differences may arise from the fact that AR 2008 is a March - Feb figure, and other accounting difference.</t>
        </r>
      </text>
    </comment>
    <comment ref="C32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Stats/SAPP Pool Plan.</t>
        </r>
      </text>
    </comment>
    <comment ref="C36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Check1 = Peak - domestic capacity</t>
        </r>
      </text>
    </comment>
    <comment ref="D36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Check2 = 
energy /(CF*8.76)</t>
        </r>
      </text>
    </comment>
    <comment ref="D41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53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From supply calcs</t>
        </r>
      </text>
    </comment>
  </commentList>
</comments>
</file>

<file path=xl/comments4.xml><?xml version="1.0" encoding="utf-8"?>
<comments xmlns="http://schemas.openxmlformats.org/spreadsheetml/2006/main">
  <authors>
    <author>Bruno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default value set to the same as SA. Actual values not published anywhere.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13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There is currently no transmission capacity - I'm not sure how this 7GWh are exported..</t>
        </r>
      </text>
    </comment>
    <comment ref="C20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2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The Supply value should be equal to the demand value. Differences may arise from the fact that AR 2008 is a March - Feb figure, and other accounting difference.</t>
        </r>
      </text>
    </comment>
    <comment ref="C32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Stats/SAPP Pool Plan.</t>
        </r>
      </text>
    </comment>
    <comment ref="C36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Check1 = Peak - domestic capacity</t>
        </r>
      </text>
    </comment>
    <comment ref="D36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Check2 = 
energy /(CF*8.76)</t>
        </r>
      </text>
    </comment>
    <comment ref="D41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53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From supply calcs</t>
        </r>
      </text>
    </comment>
  </commentList>
</comments>
</file>

<file path=xl/comments5.xml><?xml version="1.0" encoding="utf-8"?>
<comments xmlns="http://schemas.openxmlformats.org/spreadsheetml/2006/main">
  <authors>
    <author>Bruno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default value set to the same as SA. Actual values not published anywhere.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0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2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The Supply value should be equal to the demand value. Differences may arise from the fact that AR 2008 is a March - Feb figure, and other accounting difference.</t>
        </r>
      </text>
    </comment>
    <comment ref="C32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Stats/SAPP Pool Plan.</t>
        </r>
      </text>
    </comment>
    <comment ref="C36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Check1 = Peak - domestic capacity</t>
        </r>
      </text>
    </comment>
    <comment ref="D36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Check2 = 
energy /(CF*8.76)</t>
        </r>
      </text>
    </comment>
    <comment ref="D41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53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From supply calcs</t>
        </r>
      </text>
    </comment>
  </commentList>
</comments>
</file>

<file path=xl/comments6.xml><?xml version="1.0" encoding="utf-8"?>
<comments xmlns="http://schemas.openxmlformats.org/spreadsheetml/2006/main">
  <authors>
    <author>Bruno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Because of the disconnected North and South Parts of the country, it is difficult to get a consistent set of data from the various sources, because each source makes different assumptions about where the load is, how much is imported/exported etc.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default value set to the same as SA. Actual values not published anywhere.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13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This assumes that all electricity imports by SA are from Mozambique, and that Mozambique didn't export to anyone else in 2007.</t>
        </r>
      </text>
    </comment>
    <comment ref="C20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2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The Supply value should be equal to the demand value. Differences may arise from the fact that AR 2008 is a March - Feb figure, and other accounting difference.</t>
        </r>
      </text>
    </comment>
    <comment ref="C32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Stats/SAPP Pool Plan.</t>
        </r>
      </text>
    </comment>
    <comment ref="C36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Check1 = Peak - domestic capacity</t>
        </r>
      </text>
    </comment>
    <comment ref="D36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Check2 = 
energy /(CF*8.76)</t>
        </r>
      </text>
    </comment>
    <comment ref="D41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53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From supply calcs</t>
        </r>
      </text>
    </comment>
  </commentList>
</comments>
</file>

<file path=xl/comments7.xml><?xml version="1.0" encoding="utf-8"?>
<comments xmlns="http://schemas.openxmlformats.org/spreadsheetml/2006/main">
  <authors>
    <author>Bruno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default value set to the same as SA. Actual values not published anywhere.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0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2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The Supply value should be equal to the demand value. Differences may arise from the fact that AR 2008 is a March - Feb figure, and other accounting difference.</t>
        </r>
      </text>
    </comment>
    <comment ref="C32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Stats/SAPP Pool Plan.</t>
        </r>
      </text>
    </comment>
    <comment ref="C36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Check1 = Peak - domestic capacity</t>
        </r>
      </text>
    </comment>
    <comment ref="D36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Check2 = 
energy /(CF*8.76)</t>
        </r>
      </text>
    </comment>
    <comment ref="D41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53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From supply calcs</t>
        </r>
      </text>
    </comment>
  </commentList>
</comments>
</file>

<file path=xl/comments8.xml><?xml version="1.0" encoding="utf-8"?>
<comments xmlns="http://schemas.openxmlformats.org/spreadsheetml/2006/main">
  <authors>
    <author>Bruno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The growth figures of 2008-2014 are based on Eskom adequacy report website, and the for the rest of the study horizon, the growth is based on LTMS base case.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default value set to the same as SA. Actual values not published anywhere.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2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Stats. This excludes non-Eskom plants.</t>
        </r>
      </text>
    </comment>
    <comment ref="C23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The Supply value should be equal to the demand value. Differences may arise from the fact that AR 2008 is a March - Feb figure, and other accounting difference.</t>
        </r>
      </text>
    </comment>
    <comment ref="C33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ESI stats 2007 with a 3% growth.</t>
        </r>
      </text>
    </comment>
    <comment ref="C37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Check1 = Peak - domestic capacity</t>
        </r>
      </text>
    </comment>
    <comment ref="D37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Check2 = 
energy /(CF*8.76)</t>
        </r>
      </text>
    </comment>
    <comment ref="D42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54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From supply calcs</t>
        </r>
      </text>
    </comment>
  </commentList>
</comments>
</file>

<file path=xl/comments9.xml><?xml version="1.0" encoding="utf-8"?>
<comments xmlns="http://schemas.openxmlformats.org/spreadsheetml/2006/main">
  <authors>
    <author>Bruno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default value set to the same as SA. Actual values not published anywhere.</t>
        </r>
      </text>
    </comment>
    <comment ref="C10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0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22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The Supply value should be equal to the demand value. Differences may arise from the fact that AR 2008 is a March - Feb figure, and other accounting difference.</t>
        </r>
      </text>
    </comment>
    <comment ref="C32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Stats/SAPP Pool Plan.</t>
        </r>
      </text>
    </comment>
    <comment ref="C36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Check1 = Peak - domestic capacity</t>
        </r>
      </text>
    </comment>
    <comment ref="D36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Check2 = 
energy /(CF*8.76)</t>
        </r>
      </text>
    </comment>
    <comment ref="D41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AR 2008 Stats</t>
        </r>
      </text>
    </comment>
    <comment ref="C53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From supply calcs</t>
        </r>
      </text>
    </comment>
  </commentList>
</comments>
</file>

<file path=xl/sharedStrings.xml><?xml version="1.0" encoding="utf-8"?>
<sst xmlns="http://schemas.openxmlformats.org/spreadsheetml/2006/main" count="1742" uniqueCount="186">
  <si>
    <t>Baseline demand projections downstream of distribution</t>
  </si>
  <si>
    <t>GWh</t>
  </si>
  <si>
    <t>Upstream of distribution</t>
  </si>
  <si>
    <t>National Average Distribution Losses</t>
  </si>
  <si>
    <t>Upstream of transmission</t>
  </si>
  <si>
    <t>National Average Transmission Losses</t>
  </si>
  <si>
    <t>Exports</t>
  </si>
  <si>
    <t>Load Factor</t>
  </si>
  <si>
    <t>Peak demand growth Check</t>
  </si>
  <si>
    <t>Annual maximum demand forecast (SAPP annual report 2008 table 6)</t>
  </si>
  <si>
    <t>MW</t>
  </si>
  <si>
    <t>Growth (calculated)</t>
  </si>
  <si>
    <t>%</t>
  </si>
  <si>
    <t>Angola</t>
  </si>
  <si>
    <t>Botswana</t>
  </si>
  <si>
    <t>Democratic Republic of Congo</t>
  </si>
  <si>
    <t>Lesotho</t>
  </si>
  <si>
    <t>Malawi</t>
  </si>
  <si>
    <t>Mozambique</t>
  </si>
  <si>
    <t>Namibia</t>
  </si>
  <si>
    <t>South Africa</t>
  </si>
  <si>
    <t>Swaziland</t>
  </si>
  <si>
    <t>Tanzania</t>
  </si>
  <si>
    <t>Zambia</t>
  </si>
  <si>
    <t>Zimbabwe</t>
  </si>
  <si>
    <t>Total</t>
  </si>
  <si>
    <t>SAPP</t>
  </si>
  <si>
    <t>Table</t>
  </si>
  <si>
    <t>Energy</t>
  </si>
  <si>
    <t>Forecast,</t>
  </si>
  <si>
    <t>Gwh</t>
  </si>
  <si>
    <t>ENERGY</t>
  </si>
  <si>
    <t>DRC</t>
  </si>
  <si>
    <t>Interconnected</t>
  </si>
  <si>
    <t>PEAK</t>
  </si>
  <si>
    <t>DEMAND</t>
  </si>
  <si>
    <t>FORECAST,</t>
  </si>
  <si>
    <t>YEAR</t>
  </si>
  <si>
    <t>National Electricity Demand Growth</t>
  </si>
  <si>
    <t>Annual maximum demand forecast (Pool Plan table 6-5)</t>
  </si>
  <si>
    <t>Energy Forecast (Pool Plan, table 6-6)</t>
  </si>
  <si>
    <t>Load Factor (Pool Plan calculated)</t>
  </si>
  <si>
    <t>Country</t>
  </si>
  <si>
    <t>Utility</t>
  </si>
  <si>
    <t>Installed Capacity</t>
  </si>
  <si>
    <t>Net Capacity</t>
  </si>
  <si>
    <t>Maximum Demand</t>
  </si>
  <si>
    <t>MD Growth</t>
  </si>
  <si>
    <t>Sales</t>
  </si>
  <si>
    <t>Sales growth</t>
  </si>
  <si>
    <t>Generation sent out</t>
  </si>
  <si>
    <t>Net Imports</t>
  </si>
  <si>
    <t>Net Exports</t>
  </si>
  <si>
    <t>ENE</t>
  </si>
  <si>
    <t>BPC</t>
  </si>
  <si>
    <t>SNEL</t>
  </si>
  <si>
    <t>LEC</t>
  </si>
  <si>
    <t>ESCOM</t>
  </si>
  <si>
    <t>EDM</t>
  </si>
  <si>
    <t>Nampower</t>
  </si>
  <si>
    <t>ESKOM</t>
  </si>
  <si>
    <t>SEB</t>
  </si>
  <si>
    <t>TANESCO</t>
  </si>
  <si>
    <t>ZESCO</t>
  </si>
  <si>
    <t>ZESA</t>
  </si>
  <si>
    <t>Trans Input</t>
  </si>
  <si>
    <t>Dist Input</t>
  </si>
  <si>
    <t>2007 (MW)</t>
  </si>
  <si>
    <t>2007 Gwh</t>
  </si>
  <si>
    <t>Energy Forecast (SAPP annual report 2008 table 6)</t>
  </si>
  <si>
    <t>Load Factor (AR2008 calculated)</t>
  </si>
  <si>
    <t>Data Sources</t>
  </si>
  <si>
    <t>Pool Plan</t>
  </si>
  <si>
    <t>AR 2008</t>
  </si>
  <si>
    <t>Peak Demand on national system incl exports</t>
  </si>
  <si>
    <t>Existing Capacity (2007)</t>
  </si>
  <si>
    <t>Available Energy (2007) average year</t>
  </si>
  <si>
    <t>Available Energy (2007) dry year</t>
  </si>
  <si>
    <t>Source Data</t>
  </si>
  <si>
    <t>Required Reserve Margin excl. imports (actual in 2007)</t>
  </si>
  <si>
    <t>Countries</t>
  </si>
  <si>
    <t>Required Import capacity in 2007</t>
  </si>
  <si>
    <t>Trans. losses</t>
  </si>
  <si>
    <t>Total Installed Capacity (Pool Plan)</t>
  </si>
  <si>
    <t>Total Installed Capacity (AR 2008)</t>
  </si>
  <si>
    <t>year</t>
  </si>
  <si>
    <t>Electricity/Final</t>
  </si>
  <si>
    <t>(MWyr)</t>
  </si>
  <si>
    <t>Reserve Calculations</t>
  </si>
  <si>
    <t>Energy Reserves - average year with imports, no exports</t>
  </si>
  <si>
    <t>Energy Reserves - average year with imports, committed exports</t>
  </si>
  <si>
    <t>Energy Reserves - average year without imports, no exports</t>
  </si>
  <si>
    <t>Energy Reserves - average year without imports, committed exports</t>
  </si>
  <si>
    <t>Energy Reserves - dry year without imports, no exports</t>
  </si>
  <si>
    <t>Energy Reserves - dry year without imports, committed exports</t>
  </si>
  <si>
    <t>National Electricity demand Upstream of Transmission</t>
  </si>
  <si>
    <t>National Electricity demand Upstream of distribution</t>
  </si>
  <si>
    <t>ANG</t>
  </si>
  <si>
    <t>BOT</t>
  </si>
  <si>
    <t>LES</t>
  </si>
  <si>
    <t>MAL</t>
  </si>
  <si>
    <t>MOZ</t>
  </si>
  <si>
    <t>NAM</t>
  </si>
  <si>
    <t>SWA</t>
  </si>
  <si>
    <t>TAN</t>
  </si>
  <si>
    <t>ZAM</t>
  </si>
  <si>
    <t>ZIM</t>
  </si>
  <si>
    <t>SAF</t>
  </si>
  <si>
    <t>Projected committed Exported electricity Country 1 (GWh)</t>
  </si>
  <si>
    <t>Projected committed Exported electricity Country 2 (GWh)</t>
  </si>
  <si>
    <t>Projected committed Exported electricity Country 3 (GWh)</t>
  </si>
  <si>
    <t>Projected committed Exported electricity TOTAL (GWh)</t>
  </si>
  <si>
    <t>Projected committed Exported electricity Country 4 (GWh)</t>
  </si>
  <si>
    <t>Projected committed Exported electricity Country 5 (GWh)</t>
  </si>
  <si>
    <t>Change in Load Factor (Pool Plan calculated)</t>
  </si>
  <si>
    <t>National Electricity Demand (downstream of Distribution/sales)</t>
  </si>
  <si>
    <t>Projected load at generation busbar (DEMAND = National + Exports)</t>
  </si>
  <si>
    <t>Energy and Power Balance</t>
  </si>
  <si>
    <t>Domestic Energy Forecast (Pool Plan, table 6-6)</t>
  </si>
  <si>
    <t>Load at generation busbar 2007 check (SUPPLY = Generation + Imports)</t>
  </si>
  <si>
    <t>Imports in 2007 (AR 2008)</t>
  </si>
  <si>
    <t>Generation in 2007 (AR 2008)</t>
  </si>
  <si>
    <t>Projected committed Exported electricity Country 6 (GWh)</t>
  </si>
  <si>
    <t>Cap check</t>
  </si>
  <si>
    <t>rank</t>
  </si>
  <si>
    <t>Population</t>
  </si>
  <si>
    <t>SA Low</t>
  </si>
  <si>
    <t>SA Ref</t>
  </si>
  <si>
    <t>SA High</t>
  </si>
  <si>
    <t>High</t>
  </si>
  <si>
    <t>Ref</t>
  </si>
  <si>
    <t>Low</t>
  </si>
  <si>
    <t>high ratio</t>
  </si>
  <si>
    <t>low ratio</t>
  </si>
  <si>
    <t>New Data</t>
  </si>
  <si>
    <t>avg growth</t>
  </si>
  <si>
    <t>Shares</t>
  </si>
  <si>
    <t>Shares Interpolated</t>
  </si>
  <si>
    <t>Trans Losses</t>
  </si>
  <si>
    <t>Distribution Losses</t>
  </si>
  <si>
    <t>Losses Interpolated</t>
  </si>
  <si>
    <t>Has Ind data?</t>
  </si>
  <si>
    <t>Demand Projection at Secondary level (GWh)</t>
  </si>
  <si>
    <t>Demand Projection at the Final Level (Mwyr)</t>
  </si>
  <si>
    <t>1-Losses</t>
  </si>
  <si>
    <t>Industry</t>
  </si>
  <si>
    <t>Heavy Industry</t>
  </si>
  <si>
    <t>Urban</t>
  </si>
  <si>
    <t>Urban/Services/Small Industry</t>
  </si>
  <si>
    <t>check</t>
  </si>
  <si>
    <t>Rural</t>
  </si>
  <si>
    <t>Total Demand</t>
  </si>
  <si>
    <t>From Mike Rossouw Presentation - Energy Indaba 2012</t>
  </si>
  <si>
    <t>Voltage</t>
  </si>
  <si>
    <t>&gt;132</t>
  </si>
  <si>
    <t>Cost</t>
  </si>
  <si>
    <t>&gt;66&lt;132</t>
  </si>
  <si>
    <t>&gt;500&lt;66</t>
  </si>
  <si>
    <t>&lt;500</t>
  </si>
  <si>
    <t>share estimate and check</t>
  </si>
  <si>
    <t>losses</t>
  </si>
  <si>
    <t>residential</t>
  </si>
  <si>
    <t>commercial</t>
  </si>
  <si>
    <t>Heavy industry</t>
  </si>
  <si>
    <t>IRENA split</t>
  </si>
  <si>
    <t>Indsutry</t>
  </si>
  <si>
    <t>Adjusted for losses</t>
  </si>
  <si>
    <t>adjusted for losses</t>
  </si>
  <si>
    <t>Price (2006)</t>
  </si>
  <si>
    <t>avg</t>
  </si>
  <si>
    <t>cost</t>
  </si>
  <si>
    <t>normalised</t>
  </si>
  <si>
    <t>subsidy/cross-subsidy???</t>
  </si>
  <si>
    <t>/ w avg</t>
  </si>
  <si>
    <t>2010 stats (AR 2011)</t>
  </si>
  <si>
    <t>Total Losses?</t>
  </si>
  <si>
    <t>Distribution</t>
  </si>
  <si>
    <t>AR losses</t>
  </si>
  <si>
    <t>Fixed Dist</t>
  </si>
  <si>
    <t>Fixed Total</t>
  </si>
  <si>
    <t>Fixed Trans</t>
  </si>
  <si>
    <t>Demand</t>
  </si>
  <si>
    <t>Trans</t>
  </si>
  <si>
    <t>Year</t>
  </si>
  <si>
    <t>Secondary Demand</t>
  </si>
  <si>
    <t>Transmission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</si>
</sst>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?_);_(@_)"/>
    <numFmt numFmtId="168" formatCode="0.000"/>
    <numFmt numFmtId="169" formatCode="0.0000"/>
    <numFmt numFmtId="170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2" applyNumberFormat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7" borderId="2" applyNumberFormat="0" applyAlignment="0" applyProtection="0"/>
    <xf numFmtId="0" fontId="1" fillId="9" borderId="12" applyNumberFormat="0" applyFont="0" applyAlignment="0" applyProtection="0"/>
    <xf numFmtId="0" fontId="1" fillId="0" borderId="0"/>
  </cellStyleXfs>
  <cellXfs count="111">
    <xf numFmtId="0" fontId="0" fillId="0" borderId="0" xfId="0"/>
    <xf numFmtId="0" fontId="8" fillId="0" borderId="0" xfId="8" applyFont="1"/>
    <xf numFmtId="0" fontId="7" fillId="0" borderId="0" xfId="8"/>
    <xf numFmtId="0" fontId="9" fillId="0" borderId="0" xfId="8" applyFont="1"/>
    <xf numFmtId="164" fontId="7" fillId="0" borderId="0" xfId="8" applyNumberFormat="1"/>
    <xf numFmtId="0" fontId="7" fillId="0" borderId="0" xfId="8" applyFont="1"/>
    <xf numFmtId="165" fontId="5" fillId="3" borderId="0" xfId="6" applyNumberFormat="1"/>
    <xf numFmtId="165" fontId="7" fillId="0" borderId="0" xfId="10" applyNumberFormat="1" applyFont="1"/>
    <xf numFmtId="165" fontId="10" fillId="0" borderId="0" xfId="6" applyNumberFormat="1" applyFont="1" applyFill="1"/>
    <xf numFmtId="166" fontId="10" fillId="0" borderId="0" xfId="6" applyNumberFormat="1" applyFont="1" applyFill="1"/>
    <xf numFmtId="43" fontId="10" fillId="0" borderId="0" xfId="6" applyNumberFormat="1" applyFont="1" applyFill="1"/>
    <xf numFmtId="167" fontId="10" fillId="0" borderId="0" xfId="6" applyNumberFormat="1" applyFont="1" applyFill="1"/>
    <xf numFmtId="0" fontId="7" fillId="0" borderId="0" xfId="8" applyFill="1"/>
    <xf numFmtId="165" fontId="8" fillId="0" borderId="0" xfId="8" applyNumberFormat="1" applyFont="1"/>
    <xf numFmtId="164" fontId="10" fillId="0" borderId="0" xfId="9" applyNumberFormat="1" applyFont="1" applyFill="1"/>
    <xf numFmtId="164" fontId="1" fillId="0" borderId="0" xfId="9" applyNumberFormat="1" applyFont="1"/>
    <xf numFmtId="10" fontId="7" fillId="0" borderId="0" xfId="2" applyNumberFormat="1" applyFont="1"/>
    <xf numFmtId="3" fontId="0" fillId="0" borderId="0" xfId="0" applyNumberFormat="1"/>
    <xf numFmtId="164" fontId="7" fillId="0" borderId="0" xfId="2" applyNumberFormat="1" applyFont="1"/>
    <xf numFmtId="164" fontId="1" fillId="0" borderId="0" xfId="2" applyNumberFormat="1" applyFont="1"/>
    <xf numFmtId="0" fontId="2" fillId="0" borderId="1" xfId="3"/>
    <xf numFmtId="0" fontId="3" fillId="0" borderId="0" xfId="4"/>
    <xf numFmtId="0" fontId="0" fillId="0" borderId="0" xfId="0" applyNumberFormat="1"/>
    <xf numFmtId="165" fontId="0" fillId="0" borderId="0" xfId="1" applyNumberFormat="1" applyFont="1"/>
    <xf numFmtId="164" fontId="0" fillId="0" borderId="0" xfId="2" applyNumberFormat="1" applyFont="1"/>
    <xf numFmtId="3" fontId="4" fillId="2" borderId="0" xfId="5" applyNumberFormat="1"/>
    <xf numFmtId="164" fontId="5" fillId="3" borderId="0" xfId="2" applyNumberFormat="1" applyFont="1" applyFill="1"/>
    <xf numFmtId="167" fontId="5" fillId="3" borderId="0" xfId="6" applyNumberFormat="1"/>
    <xf numFmtId="167" fontId="7" fillId="5" borderId="0" xfId="8" applyNumberFormat="1" applyFill="1"/>
    <xf numFmtId="165" fontId="1" fillId="0" borderId="0" xfId="1" applyNumberFormat="1" applyFont="1"/>
    <xf numFmtId="164" fontId="8" fillId="0" borderId="0" xfId="2" applyNumberFormat="1" applyFont="1"/>
    <xf numFmtId="0" fontId="14" fillId="7" borderId="2" xfId="12"/>
    <xf numFmtId="164" fontId="14" fillId="7" borderId="2" xfId="12" applyNumberFormat="1"/>
    <xf numFmtId="10" fontId="14" fillId="7" borderId="2" xfId="12" applyNumberFormat="1"/>
    <xf numFmtId="164" fontId="6" fillId="4" borderId="2" xfId="7" applyNumberFormat="1"/>
    <xf numFmtId="1" fontId="1" fillId="0" borderId="0" xfId="9" applyNumberFormat="1" applyFont="1"/>
    <xf numFmtId="168" fontId="1" fillId="0" borderId="0" xfId="9" applyNumberFormat="1" applyFont="1"/>
    <xf numFmtId="3" fontId="5" fillId="3" borderId="0" xfId="6" applyNumberFormat="1"/>
    <xf numFmtId="0" fontId="5" fillId="3" borderId="0" xfId="6"/>
    <xf numFmtId="3" fontId="13" fillId="6" borderId="0" xfId="11" applyNumberFormat="1"/>
    <xf numFmtId="3" fontId="10" fillId="0" borderId="0" xfId="6" applyNumberFormat="1" applyFont="1" applyFill="1"/>
    <xf numFmtId="0" fontId="10" fillId="0" borderId="0" xfId="6" applyFont="1" applyFill="1"/>
    <xf numFmtId="3" fontId="10" fillId="0" borderId="0" xfId="0" applyNumberFormat="1" applyFont="1" applyFill="1"/>
    <xf numFmtId="0" fontId="10" fillId="0" borderId="0" xfId="0" applyFont="1" applyFill="1"/>
    <xf numFmtId="3" fontId="10" fillId="0" borderId="0" xfId="5" applyNumberFormat="1" applyFont="1" applyFill="1"/>
    <xf numFmtId="3" fontId="10" fillId="0" borderId="0" xfId="11" applyNumberFormat="1" applyFont="1" applyFill="1"/>
    <xf numFmtId="0" fontId="3" fillId="0" borderId="3" xfId="4" applyBorder="1" applyAlignment="1">
      <alignment wrapText="1"/>
    </xf>
    <xf numFmtId="0" fontId="3" fillId="0" borderId="3" xfId="4" applyBorder="1"/>
    <xf numFmtId="0" fontId="0" fillId="0" borderId="3" xfId="0" applyBorder="1"/>
    <xf numFmtId="3" fontId="0" fillId="0" borderId="3" xfId="0" applyNumberFormat="1" applyBorder="1"/>
    <xf numFmtId="165" fontId="0" fillId="0" borderId="3" xfId="1" applyNumberFormat="1" applyFont="1" applyBorder="1"/>
    <xf numFmtId="164" fontId="0" fillId="0" borderId="3" xfId="2" applyNumberFormat="1" applyFont="1" applyBorder="1"/>
    <xf numFmtId="0" fontId="4" fillId="2" borderId="3" xfId="5" applyBorder="1"/>
    <xf numFmtId="3" fontId="4" fillId="2" borderId="3" xfId="5" applyNumberFormat="1" applyBorder="1"/>
    <xf numFmtId="0" fontId="15" fillId="0" borderId="4" xfId="4" applyFont="1" applyBorder="1" applyAlignment="1">
      <alignment horizontal="center" vertical="center" wrapText="1"/>
    </xf>
    <xf numFmtId="0" fontId="15" fillId="0" borderId="5" xfId="4" applyFont="1" applyBorder="1" applyAlignment="1">
      <alignment horizontal="center" vertical="center" wrapText="1"/>
    </xf>
    <xf numFmtId="0" fontId="15" fillId="0" borderId="6" xfId="4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165" fontId="0" fillId="0" borderId="7" xfId="1" applyNumberFormat="1" applyFont="1" applyBorder="1"/>
    <xf numFmtId="165" fontId="0" fillId="0" borderId="8" xfId="1" applyNumberFormat="1" applyFont="1" applyBorder="1"/>
    <xf numFmtId="165" fontId="0" fillId="0" borderId="9" xfId="1" applyNumberFormat="1" applyFont="1" applyBorder="1"/>
    <xf numFmtId="0" fontId="15" fillId="0" borderId="10" xfId="4" applyFont="1" applyBorder="1" applyAlignment="1">
      <alignment horizontal="center" vertical="center" wrapText="1"/>
    </xf>
    <xf numFmtId="0" fontId="15" fillId="0" borderId="11" xfId="3" applyFont="1" applyBorder="1" applyAlignment="1">
      <alignment horizontal="center" vertical="center" wrapText="1"/>
    </xf>
    <xf numFmtId="0" fontId="15" fillId="0" borderId="10" xfId="3" applyFont="1" applyBorder="1" applyAlignment="1">
      <alignment horizontal="center" vertical="center" wrapText="1"/>
    </xf>
    <xf numFmtId="165" fontId="14" fillId="7" borderId="2" xfId="12" applyNumberFormat="1"/>
    <xf numFmtId="165" fontId="17" fillId="0" borderId="0" xfId="0" applyNumberFormat="1" applyFont="1"/>
    <xf numFmtId="0" fontId="18" fillId="0" borderId="0" xfId="8" applyFont="1"/>
    <xf numFmtId="165" fontId="19" fillId="0" borderId="0" xfId="0" applyNumberFormat="1" applyFont="1"/>
    <xf numFmtId="3" fontId="5" fillId="3" borderId="3" xfId="6" applyNumberFormat="1" applyBorder="1"/>
    <xf numFmtId="0" fontId="17" fillId="0" borderId="0" xfId="0" applyFont="1" applyAlignment="1">
      <alignment horizontal="right"/>
    </xf>
    <xf numFmtId="165" fontId="17" fillId="0" borderId="0" xfId="1" applyNumberFormat="1" applyFont="1"/>
    <xf numFmtId="164" fontId="4" fillId="2" borderId="0" xfId="5" applyNumberFormat="1"/>
    <xf numFmtId="167" fontId="8" fillId="0" borderId="0" xfId="8" applyNumberFormat="1" applyFont="1" applyFill="1"/>
    <xf numFmtId="0" fontId="8" fillId="0" borderId="0" xfId="8" applyFont="1" applyFill="1"/>
    <xf numFmtId="165" fontId="20" fillId="0" borderId="0" xfId="1" applyNumberFormat="1" applyFont="1"/>
    <xf numFmtId="165" fontId="7" fillId="5" borderId="0" xfId="8" applyNumberFormat="1" applyFill="1"/>
    <xf numFmtId="43" fontId="8" fillId="0" borderId="0" xfId="8" applyNumberFormat="1" applyFont="1" applyFill="1"/>
    <xf numFmtId="167" fontId="8" fillId="0" borderId="0" xfId="1" applyNumberFormat="1" applyFont="1" applyFill="1"/>
    <xf numFmtId="167" fontId="7" fillId="0" borderId="0" xfId="1" applyNumberFormat="1" applyFont="1"/>
    <xf numFmtId="164" fontId="14" fillId="8" borderId="2" xfId="12" applyNumberFormat="1" applyFill="1"/>
    <xf numFmtId="3" fontId="0" fillId="8" borderId="3" xfId="0" applyNumberFormat="1" applyFill="1" applyBorder="1"/>
    <xf numFmtId="164" fontId="10" fillId="0" borderId="0" xfId="2" applyNumberFormat="1" applyFont="1" applyFill="1"/>
    <xf numFmtId="1" fontId="0" fillId="0" borderId="0" xfId="0" applyNumberFormat="1"/>
    <xf numFmtId="9" fontId="0" fillId="0" borderId="0" xfId="2" applyFont="1"/>
    <xf numFmtId="0" fontId="1" fillId="0" borderId="0" xfId="2" applyNumberFormat="1" applyFont="1"/>
    <xf numFmtId="169" fontId="0" fillId="0" borderId="0" xfId="0" applyNumberFormat="1"/>
    <xf numFmtId="9" fontId="7" fillId="0" borderId="0" xfId="8" applyNumberFormat="1"/>
    <xf numFmtId="43" fontId="0" fillId="0" borderId="0" xfId="0" applyNumberFormat="1"/>
    <xf numFmtId="165" fontId="0" fillId="0" borderId="0" xfId="0" applyNumberFormat="1"/>
    <xf numFmtId="165" fontId="0" fillId="0" borderId="5" xfId="1" applyNumberFormat="1" applyFont="1" applyBorder="1"/>
    <xf numFmtId="165" fontId="0" fillId="0" borderId="6" xfId="1" applyNumberFormat="1" applyFont="1" applyBorder="1"/>
    <xf numFmtId="9" fontId="0" fillId="0" borderId="0" xfId="0" applyNumberFormat="1"/>
    <xf numFmtId="0" fontId="0" fillId="0" borderId="0" xfId="0" applyAlignment="1">
      <alignment wrapText="1"/>
    </xf>
    <xf numFmtId="0" fontId="17" fillId="0" borderId="0" xfId="0" applyFont="1"/>
    <xf numFmtId="164" fontId="0" fillId="9" borderId="12" xfId="13" applyNumberFormat="1" applyFont="1"/>
    <xf numFmtId="0" fontId="1" fillId="0" borderId="0" xfId="14"/>
    <xf numFmtId="170" fontId="0" fillId="0" borderId="0" xfId="0" applyNumberFormat="1"/>
    <xf numFmtId="164" fontId="0" fillId="0" borderId="0" xfId="0" applyNumberFormat="1"/>
    <xf numFmtId="164" fontId="13" fillId="6" borderId="0" xfId="11" applyNumberFormat="1"/>
    <xf numFmtId="0" fontId="0" fillId="0" borderId="0" xfId="0" quotePrefix="1"/>
    <xf numFmtId="3" fontId="0" fillId="0" borderId="0" xfId="0" applyNumberFormat="1" applyFill="1" applyBorder="1"/>
    <xf numFmtId="10" fontId="0" fillId="0" borderId="0" xfId="0" applyNumberFormat="1"/>
    <xf numFmtId="9" fontId="4" fillId="2" borderId="0" xfId="5" applyNumberFormat="1"/>
    <xf numFmtId="10" fontId="4" fillId="2" borderId="0" xfId="5" applyNumberFormat="1"/>
    <xf numFmtId="3" fontId="0" fillId="8" borderId="0" xfId="0" applyNumberFormat="1" applyFill="1"/>
    <xf numFmtId="164" fontId="1" fillId="8" borderId="0" xfId="2" applyNumberFormat="1" applyFont="1" applyFill="1"/>
    <xf numFmtId="9" fontId="14" fillId="7" borderId="2" xfId="12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5">
    <cellStyle name="Bad" xfId="5" builtinId="27"/>
    <cellStyle name="Calculation" xfId="7" builtinId="22"/>
    <cellStyle name="Comma" xfId="1" builtinId="3"/>
    <cellStyle name="Comma 2" xfId="10"/>
    <cellStyle name="Good" xfId="11" builtinId="26"/>
    <cellStyle name="Heading 1" xfId="3" builtinId="16"/>
    <cellStyle name="Heading 4" xfId="4" builtinId="19"/>
    <cellStyle name="Input" xfId="12" builtinId="20"/>
    <cellStyle name="Neutral" xfId="6" builtinId="28"/>
    <cellStyle name="Normal" xfId="0" builtinId="0"/>
    <cellStyle name="Normal 2" xfId="8"/>
    <cellStyle name="Normal 4" xfId="14"/>
    <cellStyle name="Note" xfId="13" builtinId="10"/>
    <cellStyle name="Percent" xfId="2" builtinId="5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PoolPlan_EnergyProj!$C$46</c:f>
              <c:strCache>
                <c:ptCount val="1"/>
                <c:pt idx="0">
                  <c:v>Lesotho</c:v>
                </c:pt>
              </c:strCache>
            </c:strRef>
          </c:tx>
          <c:invertIfNegative val="0"/>
          <c:cat>
            <c:numRef>
              <c:f>PoolPlan_EnergyProj!$B$47:$B$51</c:f>
              <c:numCache>
                <c:formatCode>General</c:formatCode>
                <c:ptCount val="5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PoolPlan_EnergyProj!$C$47:$C$51</c:f>
              <c:numCache>
                <c:formatCode>0</c:formatCode>
                <c:ptCount val="5"/>
                <c:pt idx="0">
                  <c:v>0.57599999999999996</c:v>
                </c:pt>
                <c:pt idx="1">
                  <c:v>0.86599999999999999</c:v>
                </c:pt>
                <c:pt idx="2">
                  <c:v>1.3088683758743433</c:v>
                </c:pt>
                <c:pt idx="3">
                  <c:v>2.0228084938714028</c:v>
                </c:pt>
                <c:pt idx="4">
                  <c:v>3.154870927721328</c:v>
                </c:pt>
              </c:numCache>
            </c:numRef>
          </c:val>
        </c:ser>
        <c:ser>
          <c:idx val="1"/>
          <c:order val="1"/>
          <c:tx>
            <c:strRef>
              <c:f>PoolPlan_EnergyProj!$D$46</c:f>
              <c:strCache>
                <c:ptCount val="1"/>
                <c:pt idx="0">
                  <c:v>Swaziland</c:v>
                </c:pt>
              </c:strCache>
            </c:strRef>
          </c:tx>
          <c:invertIfNegative val="0"/>
          <c:cat>
            <c:numRef>
              <c:f>PoolPlan_EnergyProj!$B$47:$B$51</c:f>
              <c:numCache>
                <c:formatCode>General</c:formatCode>
                <c:ptCount val="5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PoolPlan_EnergyProj!$D$47:$D$51</c:f>
              <c:numCache>
                <c:formatCode>0</c:formatCode>
                <c:ptCount val="5"/>
                <c:pt idx="0">
                  <c:v>1.262</c:v>
                </c:pt>
                <c:pt idx="1">
                  <c:v>1.72</c:v>
                </c:pt>
                <c:pt idx="2">
                  <c:v>1.9517132884300057</c:v>
                </c:pt>
                <c:pt idx="3">
                  <c:v>2.2787395078548358</c:v>
                </c:pt>
                <c:pt idx="4">
                  <c:v>2.7194038575732566</c:v>
                </c:pt>
              </c:numCache>
            </c:numRef>
          </c:val>
        </c:ser>
        <c:ser>
          <c:idx val="2"/>
          <c:order val="2"/>
          <c:tx>
            <c:strRef>
              <c:f>PoolPlan_EnergyProj!$E$46</c:f>
              <c:strCache>
                <c:ptCount val="1"/>
                <c:pt idx="0">
                  <c:v>Malawi</c:v>
                </c:pt>
              </c:strCache>
            </c:strRef>
          </c:tx>
          <c:invertIfNegative val="0"/>
          <c:cat>
            <c:numRef>
              <c:f>PoolPlan_EnergyProj!$B$47:$B$51</c:f>
              <c:numCache>
                <c:formatCode>General</c:formatCode>
                <c:ptCount val="5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PoolPlan_EnergyProj!$E$47:$E$51</c:f>
              <c:numCache>
                <c:formatCode>0</c:formatCode>
                <c:ptCount val="5"/>
                <c:pt idx="0">
                  <c:v>1.6</c:v>
                </c:pt>
                <c:pt idx="1">
                  <c:v>2.9954328271875008</c:v>
                </c:pt>
                <c:pt idx="2">
                  <c:v>4.8792444370784818</c:v>
                </c:pt>
                <c:pt idx="3">
                  <c:v>7.947775046290861</c:v>
                </c:pt>
                <c:pt idx="4">
                  <c:v>12.946088067739014</c:v>
                </c:pt>
              </c:numCache>
            </c:numRef>
          </c:val>
        </c:ser>
        <c:ser>
          <c:idx val="3"/>
          <c:order val="3"/>
          <c:tx>
            <c:strRef>
              <c:f>PoolPlan_EnergyProj!$F$46</c:f>
              <c:strCache>
                <c:ptCount val="1"/>
                <c:pt idx="0">
                  <c:v>Namibia</c:v>
                </c:pt>
              </c:strCache>
            </c:strRef>
          </c:tx>
          <c:invertIfNegative val="0"/>
          <c:cat>
            <c:numRef>
              <c:f>PoolPlan_EnergyProj!$B$47:$B$51</c:f>
              <c:numCache>
                <c:formatCode>General</c:formatCode>
                <c:ptCount val="5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PoolPlan_EnergyProj!$F$47:$F$51</c:f>
              <c:numCache>
                <c:formatCode>0</c:formatCode>
                <c:ptCount val="5"/>
                <c:pt idx="0">
                  <c:v>3.6480000000000001</c:v>
                </c:pt>
                <c:pt idx="1">
                  <c:v>4.803850267379679</c:v>
                </c:pt>
                <c:pt idx="2">
                  <c:v>6.6078154802101432</c:v>
                </c:pt>
                <c:pt idx="3">
                  <c:v>8.9609609694410537</c:v>
                </c:pt>
                <c:pt idx="4">
                  <c:v>12.153306455368813</c:v>
                </c:pt>
              </c:numCache>
            </c:numRef>
          </c:val>
        </c:ser>
        <c:ser>
          <c:idx val="4"/>
          <c:order val="4"/>
          <c:tx>
            <c:strRef>
              <c:f>PoolPlan_EnergyProj!$G$46</c:f>
              <c:strCache>
                <c:ptCount val="1"/>
                <c:pt idx="0">
                  <c:v>Mozambique</c:v>
                </c:pt>
              </c:strCache>
            </c:strRef>
          </c:tx>
          <c:invertIfNegative val="0"/>
          <c:cat>
            <c:numRef>
              <c:f>PoolPlan_EnergyProj!$B$47:$B$51</c:f>
              <c:numCache>
                <c:formatCode>General</c:formatCode>
                <c:ptCount val="5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PoolPlan_EnergyProj!$G$47:$G$51</c:f>
              <c:numCache>
                <c:formatCode>0</c:formatCode>
                <c:ptCount val="5"/>
                <c:pt idx="0">
                  <c:v>3.758</c:v>
                </c:pt>
                <c:pt idx="1">
                  <c:v>5.9660000000000002</c:v>
                </c:pt>
                <c:pt idx="2">
                  <c:v>8.8403683008149052</c:v>
                </c:pt>
                <c:pt idx="3">
                  <c:v>13.102509104016047</c:v>
                </c:pt>
                <c:pt idx="4">
                  <c:v>19.420008440421359</c:v>
                </c:pt>
              </c:numCache>
            </c:numRef>
          </c:val>
        </c:ser>
        <c:ser>
          <c:idx val="5"/>
          <c:order val="5"/>
          <c:tx>
            <c:strRef>
              <c:f>PoolPlan_EnergyProj!$H$46</c:f>
              <c:strCache>
                <c:ptCount val="1"/>
                <c:pt idx="0">
                  <c:v>Botswana</c:v>
                </c:pt>
              </c:strCache>
            </c:strRef>
          </c:tx>
          <c:invertIfNegative val="0"/>
          <c:cat>
            <c:numRef>
              <c:f>PoolPlan_EnergyProj!$B$47:$B$51</c:f>
              <c:numCache>
                <c:formatCode>General</c:formatCode>
                <c:ptCount val="5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PoolPlan_EnergyProj!$H$47:$H$51</c:f>
              <c:numCache>
                <c:formatCode>0</c:formatCode>
                <c:ptCount val="5"/>
                <c:pt idx="0">
                  <c:v>4.202</c:v>
                </c:pt>
                <c:pt idx="1">
                  <c:v>6.8479999999999999</c:v>
                </c:pt>
                <c:pt idx="2">
                  <c:v>7.7300637098039573</c:v>
                </c:pt>
                <c:pt idx="3">
                  <c:v>8.2732903503265316</c:v>
                </c:pt>
                <c:pt idx="4">
                  <c:v>8.486462696058501</c:v>
                </c:pt>
              </c:numCache>
            </c:numRef>
          </c:val>
        </c:ser>
        <c:ser>
          <c:idx val="6"/>
          <c:order val="6"/>
          <c:tx>
            <c:strRef>
              <c:f>PoolPlan_EnergyProj!$I$46</c:f>
              <c:strCache>
                <c:ptCount val="1"/>
                <c:pt idx="0">
                  <c:v>Tanzania</c:v>
                </c:pt>
              </c:strCache>
            </c:strRef>
          </c:tx>
          <c:invertIfNegative val="0"/>
          <c:cat>
            <c:numRef>
              <c:f>PoolPlan_EnergyProj!$B$47:$B$51</c:f>
              <c:numCache>
                <c:formatCode>General</c:formatCode>
                <c:ptCount val="5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PoolPlan_EnergyProj!$I$47:$I$51</c:f>
              <c:numCache>
                <c:formatCode>0</c:formatCode>
                <c:ptCount val="5"/>
                <c:pt idx="0">
                  <c:v>4.82</c:v>
                </c:pt>
                <c:pt idx="1">
                  <c:v>10.895900120786326</c:v>
                </c:pt>
                <c:pt idx="2">
                  <c:v>23.089828798464968</c:v>
                </c:pt>
                <c:pt idx="3">
                  <c:v>37.610898063030618</c:v>
                </c:pt>
                <c:pt idx="4">
                  <c:v>56.259094250231243</c:v>
                </c:pt>
              </c:numCache>
            </c:numRef>
          </c:val>
        </c:ser>
        <c:ser>
          <c:idx val="7"/>
          <c:order val="7"/>
          <c:tx>
            <c:strRef>
              <c:f>PoolPlan_EnergyProj!$J$46</c:f>
              <c:strCache>
                <c:ptCount val="1"/>
                <c:pt idx="0">
                  <c:v>Angola</c:v>
                </c:pt>
              </c:strCache>
            </c:strRef>
          </c:tx>
          <c:invertIfNegative val="0"/>
          <c:cat>
            <c:numRef>
              <c:f>PoolPlan_EnergyProj!$B$47:$B$51</c:f>
              <c:numCache>
                <c:formatCode>General</c:formatCode>
                <c:ptCount val="5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PoolPlan_EnergyProj!$J$47:$J$51</c:f>
              <c:numCache>
                <c:formatCode>0</c:formatCode>
                <c:ptCount val="5"/>
                <c:pt idx="0">
                  <c:v>6.343</c:v>
                </c:pt>
                <c:pt idx="1">
                  <c:v>12.673999999999999</c:v>
                </c:pt>
                <c:pt idx="2">
                  <c:v>20.293684357739004</c:v>
                </c:pt>
                <c:pt idx="3">
                  <c:v>26.499630588898654</c:v>
                </c:pt>
                <c:pt idx="4">
                  <c:v>29.667566537114169</c:v>
                </c:pt>
              </c:numCache>
            </c:numRef>
          </c:val>
        </c:ser>
        <c:ser>
          <c:idx val="8"/>
          <c:order val="8"/>
          <c:tx>
            <c:strRef>
              <c:f>PoolPlan_EnergyProj!$K$46</c:f>
              <c:strCache>
                <c:ptCount val="1"/>
                <c:pt idx="0">
                  <c:v>Democratic Republic of Congo</c:v>
                </c:pt>
              </c:strCache>
            </c:strRef>
          </c:tx>
          <c:invertIfNegative val="0"/>
          <c:cat>
            <c:numRef>
              <c:f>PoolPlan_EnergyProj!$B$47:$B$51</c:f>
              <c:numCache>
                <c:formatCode>General</c:formatCode>
                <c:ptCount val="5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PoolPlan_EnergyProj!$K$47:$K$51</c:f>
              <c:numCache>
                <c:formatCode>0</c:formatCode>
                <c:ptCount val="5"/>
                <c:pt idx="0">
                  <c:v>9.39</c:v>
                </c:pt>
                <c:pt idx="1">
                  <c:v>20.272305724391483</c:v>
                </c:pt>
                <c:pt idx="2">
                  <c:v>39.492195030556985</c:v>
                </c:pt>
                <c:pt idx="3">
                  <c:v>53.167970135884097</c:v>
                </c:pt>
                <c:pt idx="4">
                  <c:v>54.951608674523165</c:v>
                </c:pt>
              </c:numCache>
            </c:numRef>
          </c:val>
        </c:ser>
        <c:ser>
          <c:idx val="9"/>
          <c:order val="9"/>
          <c:tx>
            <c:strRef>
              <c:f>PoolPlan_EnergyProj!$L$46</c:f>
              <c:strCache>
                <c:ptCount val="1"/>
                <c:pt idx="0">
                  <c:v>Zimbabwe</c:v>
                </c:pt>
              </c:strCache>
            </c:strRef>
          </c:tx>
          <c:invertIfNegative val="0"/>
          <c:cat>
            <c:numRef>
              <c:f>PoolPlan_EnergyProj!$B$47:$B$51</c:f>
              <c:numCache>
                <c:formatCode>General</c:formatCode>
                <c:ptCount val="5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PoolPlan_EnergyProj!$L$47:$L$51</c:f>
              <c:numCache>
                <c:formatCode>0</c:formatCode>
                <c:ptCount val="5"/>
                <c:pt idx="0">
                  <c:v>10.142007721871803</c:v>
                </c:pt>
                <c:pt idx="1">
                  <c:v>15.012648967898453</c:v>
                </c:pt>
                <c:pt idx="2">
                  <c:v>22.222387836216967</c:v>
                </c:pt>
                <c:pt idx="3">
                  <c:v>32.894562591799108</c:v>
                </c:pt>
                <c:pt idx="4">
                  <c:v>48.691988281399396</c:v>
                </c:pt>
              </c:numCache>
            </c:numRef>
          </c:val>
        </c:ser>
        <c:ser>
          <c:idx val="10"/>
          <c:order val="10"/>
          <c:tx>
            <c:strRef>
              <c:f>PoolPlan_EnergyProj!$M$46</c:f>
              <c:strCache>
                <c:ptCount val="1"/>
                <c:pt idx="0">
                  <c:v>Zambia</c:v>
                </c:pt>
              </c:strCache>
            </c:strRef>
          </c:tx>
          <c:invertIfNegative val="0"/>
          <c:cat>
            <c:numRef>
              <c:f>PoolPlan_EnergyProj!$B$47:$B$51</c:f>
              <c:numCache>
                <c:formatCode>General</c:formatCode>
                <c:ptCount val="5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PoolPlan_EnergyProj!$M$47:$M$51</c:f>
              <c:numCache>
                <c:formatCode>0</c:formatCode>
                <c:ptCount val="5"/>
                <c:pt idx="0">
                  <c:v>13.509</c:v>
                </c:pt>
                <c:pt idx="1">
                  <c:v>21.898775695256198</c:v>
                </c:pt>
                <c:pt idx="2">
                  <c:v>35.670798063007261</c:v>
                </c:pt>
                <c:pt idx="3">
                  <c:v>58.103971297695701</c:v>
                </c:pt>
                <c:pt idx="4">
                  <c:v>94.645246641247212</c:v>
                </c:pt>
              </c:numCache>
            </c:numRef>
          </c:val>
        </c:ser>
        <c:ser>
          <c:idx val="11"/>
          <c:order val="11"/>
          <c:tx>
            <c:strRef>
              <c:f>PoolPlan_EnergyProj!$N$46</c:f>
              <c:strCache>
                <c:ptCount val="1"/>
                <c:pt idx="0">
                  <c:v>South Africa</c:v>
                </c:pt>
              </c:strCache>
            </c:strRef>
          </c:tx>
          <c:invertIfNegative val="0"/>
          <c:cat>
            <c:numRef>
              <c:f>PoolPlan_EnergyProj!$B$47:$B$51</c:f>
              <c:numCache>
                <c:formatCode>General</c:formatCode>
                <c:ptCount val="5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PoolPlan_EnergyProj!$N$47:$N$51</c:f>
              <c:numCache>
                <c:formatCode>0</c:formatCode>
                <c:ptCount val="5"/>
                <c:pt idx="0">
                  <c:v>258.87009788758155</c:v>
                </c:pt>
                <c:pt idx="1">
                  <c:v>354.89883033482505</c:v>
                </c:pt>
                <c:pt idx="2">
                  <c:v>453.06872588803816</c:v>
                </c:pt>
                <c:pt idx="3">
                  <c:v>569.33644553755983</c:v>
                </c:pt>
                <c:pt idx="4">
                  <c:v>722.2398850926179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5697536"/>
        <c:axId val="435699072"/>
      </c:barChart>
      <c:catAx>
        <c:axId val="43569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5699072"/>
        <c:crosses val="autoZero"/>
        <c:auto val="1"/>
        <c:lblAlgn val="ctr"/>
        <c:lblOffset val="100"/>
        <c:noMultiLvlLbl val="0"/>
      </c:catAx>
      <c:valAx>
        <c:axId val="435699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Electricity Demand (TWh)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435697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PoolPlan_EnergyProj!$C$46</c:f>
              <c:strCache>
                <c:ptCount val="1"/>
                <c:pt idx="0">
                  <c:v>Lesotho</c:v>
                </c:pt>
              </c:strCache>
            </c:strRef>
          </c:tx>
          <c:invertIfNegative val="0"/>
          <c:cat>
            <c:numRef>
              <c:f>PoolPlan_EnergyProj!$B$47:$B$49</c:f>
              <c:numCache>
                <c:formatCode>General</c:formatCode>
                <c:ptCount val="3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PoolPlan_EnergyProj!$C$47:$C$49</c:f>
              <c:numCache>
                <c:formatCode>0</c:formatCode>
                <c:ptCount val="3"/>
                <c:pt idx="0">
                  <c:v>0.57599999999999996</c:v>
                </c:pt>
                <c:pt idx="1">
                  <c:v>0.86599999999999999</c:v>
                </c:pt>
                <c:pt idx="2">
                  <c:v>1.3088683758743433</c:v>
                </c:pt>
              </c:numCache>
            </c:numRef>
          </c:val>
        </c:ser>
        <c:ser>
          <c:idx val="1"/>
          <c:order val="1"/>
          <c:tx>
            <c:strRef>
              <c:f>PoolPlan_EnergyProj!$D$46</c:f>
              <c:strCache>
                <c:ptCount val="1"/>
                <c:pt idx="0">
                  <c:v>Swaziland</c:v>
                </c:pt>
              </c:strCache>
            </c:strRef>
          </c:tx>
          <c:invertIfNegative val="0"/>
          <c:cat>
            <c:numRef>
              <c:f>PoolPlan_EnergyProj!$B$47:$B$49</c:f>
              <c:numCache>
                <c:formatCode>General</c:formatCode>
                <c:ptCount val="3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PoolPlan_EnergyProj!$D$47:$D$49</c:f>
              <c:numCache>
                <c:formatCode>0</c:formatCode>
                <c:ptCount val="3"/>
                <c:pt idx="0">
                  <c:v>1.262</c:v>
                </c:pt>
                <c:pt idx="1">
                  <c:v>1.72</c:v>
                </c:pt>
                <c:pt idx="2">
                  <c:v>1.9517132884300057</c:v>
                </c:pt>
              </c:numCache>
            </c:numRef>
          </c:val>
        </c:ser>
        <c:ser>
          <c:idx val="2"/>
          <c:order val="2"/>
          <c:tx>
            <c:strRef>
              <c:f>PoolPlan_EnergyProj!$E$46</c:f>
              <c:strCache>
                <c:ptCount val="1"/>
                <c:pt idx="0">
                  <c:v>Malawi</c:v>
                </c:pt>
              </c:strCache>
            </c:strRef>
          </c:tx>
          <c:invertIfNegative val="0"/>
          <c:cat>
            <c:numRef>
              <c:f>PoolPlan_EnergyProj!$B$47:$B$49</c:f>
              <c:numCache>
                <c:formatCode>General</c:formatCode>
                <c:ptCount val="3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PoolPlan_EnergyProj!$E$47:$E$49</c:f>
              <c:numCache>
                <c:formatCode>0</c:formatCode>
                <c:ptCount val="3"/>
                <c:pt idx="0">
                  <c:v>1.6</c:v>
                </c:pt>
                <c:pt idx="1">
                  <c:v>2.9954328271875008</c:v>
                </c:pt>
                <c:pt idx="2">
                  <c:v>4.8792444370784818</c:v>
                </c:pt>
              </c:numCache>
            </c:numRef>
          </c:val>
        </c:ser>
        <c:ser>
          <c:idx val="3"/>
          <c:order val="3"/>
          <c:tx>
            <c:strRef>
              <c:f>PoolPlan_EnergyProj!$F$46</c:f>
              <c:strCache>
                <c:ptCount val="1"/>
                <c:pt idx="0">
                  <c:v>Namibia</c:v>
                </c:pt>
              </c:strCache>
            </c:strRef>
          </c:tx>
          <c:invertIfNegative val="0"/>
          <c:cat>
            <c:numRef>
              <c:f>PoolPlan_EnergyProj!$B$47:$B$49</c:f>
              <c:numCache>
                <c:formatCode>General</c:formatCode>
                <c:ptCount val="3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PoolPlan_EnergyProj!$F$47:$F$49</c:f>
              <c:numCache>
                <c:formatCode>0</c:formatCode>
                <c:ptCount val="3"/>
                <c:pt idx="0">
                  <c:v>3.6480000000000001</c:v>
                </c:pt>
                <c:pt idx="1">
                  <c:v>4.803850267379679</c:v>
                </c:pt>
                <c:pt idx="2">
                  <c:v>6.6078154802101432</c:v>
                </c:pt>
              </c:numCache>
            </c:numRef>
          </c:val>
        </c:ser>
        <c:ser>
          <c:idx val="4"/>
          <c:order val="4"/>
          <c:tx>
            <c:strRef>
              <c:f>PoolPlan_EnergyProj!$G$46</c:f>
              <c:strCache>
                <c:ptCount val="1"/>
                <c:pt idx="0">
                  <c:v>Mozambique</c:v>
                </c:pt>
              </c:strCache>
            </c:strRef>
          </c:tx>
          <c:invertIfNegative val="0"/>
          <c:cat>
            <c:numRef>
              <c:f>PoolPlan_EnergyProj!$B$47:$B$49</c:f>
              <c:numCache>
                <c:formatCode>General</c:formatCode>
                <c:ptCount val="3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PoolPlan_EnergyProj!$G$47:$G$49</c:f>
              <c:numCache>
                <c:formatCode>0</c:formatCode>
                <c:ptCount val="3"/>
                <c:pt idx="0">
                  <c:v>3.758</c:v>
                </c:pt>
                <c:pt idx="1">
                  <c:v>5.9660000000000002</c:v>
                </c:pt>
                <c:pt idx="2">
                  <c:v>8.8403683008149052</c:v>
                </c:pt>
              </c:numCache>
            </c:numRef>
          </c:val>
        </c:ser>
        <c:ser>
          <c:idx val="5"/>
          <c:order val="5"/>
          <c:tx>
            <c:strRef>
              <c:f>PoolPlan_EnergyProj!$H$46</c:f>
              <c:strCache>
                <c:ptCount val="1"/>
                <c:pt idx="0">
                  <c:v>Botswana</c:v>
                </c:pt>
              </c:strCache>
            </c:strRef>
          </c:tx>
          <c:invertIfNegative val="0"/>
          <c:cat>
            <c:numRef>
              <c:f>PoolPlan_EnergyProj!$B$47:$B$49</c:f>
              <c:numCache>
                <c:formatCode>General</c:formatCode>
                <c:ptCount val="3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PoolPlan_EnergyProj!$H$47:$H$49</c:f>
              <c:numCache>
                <c:formatCode>0</c:formatCode>
                <c:ptCount val="3"/>
                <c:pt idx="0">
                  <c:v>4.202</c:v>
                </c:pt>
                <c:pt idx="1">
                  <c:v>6.8479999999999999</c:v>
                </c:pt>
                <c:pt idx="2">
                  <c:v>7.7300637098039573</c:v>
                </c:pt>
              </c:numCache>
            </c:numRef>
          </c:val>
        </c:ser>
        <c:ser>
          <c:idx val="6"/>
          <c:order val="6"/>
          <c:tx>
            <c:strRef>
              <c:f>PoolPlan_EnergyProj!$I$46</c:f>
              <c:strCache>
                <c:ptCount val="1"/>
                <c:pt idx="0">
                  <c:v>Tanzania</c:v>
                </c:pt>
              </c:strCache>
            </c:strRef>
          </c:tx>
          <c:invertIfNegative val="0"/>
          <c:cat>
            <c:numRef>
              <c:f>PoolPlan_EnergyProj!$B$47:$B$49</c:f>
              <c:numCache>
                <c:formatCode>General</c:formatCode>
                <c:ptCount val="3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PoolPlan_EnergyProj!$I$47:$I$49</c:f>
              <c:numCache>
                <c:formatCode>0</c:formatCode>
                <c:ptCount val="3"/>
                <c:pt idx="0">
                  <c:v>4.82</c:v>
                </c:pt>
                <c:pt idx="1">
                  <c:v>10.895900120786326</c:v>
                </c:pt>
                <c:pt idx="2">
                  <c:v>23.089828798464968</c:v>
                </c:pt>
              </c:numCache>
            </c:numRef>
          </c:val>
        </c:ser>
        <c:ser>
          <c:idx val="7"/>
          <c:order val="7"/>
          <c:tx>
            <c:strRef>
              <c:f>PoolPlan_EnergyProj!$J$46</c:f>
              <c:strCache>
                <c:ptCount val="1"/>
                <c:pt idx="0">
                  <c:v>Angola</c:v>
                </c:pt>
              </c:strCache>
            </c:strRef>
          </c:tx>
          <c:invertIfNegative val="0"/>
          <c:cat>
            <c:numRef>
              <c:f>PoolPlan_EnergyProj!$B$47:$B$49</c:f>
              <c:numCache>
                <c:formatCode>General</c:formatCode>
                <c:ptCount val="3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PoolPlan_EnergyProj!$J$47:$J$49</c:f>
              <c:numCache>
                <c:formatCode>0</c:formatCode>
                <c:ptCount val="3"/>
                <c:pt idx="0">
                  <c:v>6.343</c:v>
                </c:pt>
                <c:pt idx="1">
                  <c:v>12.673999999999999</c:v>
                </c:pt>
                <c:pt idx="2">
                  <c:v>20.293684357739004</c:v>
                </c:pt>
              </c:numCache>
            </c:numRef>
          </c:val>
        </c:ser>
        <c:ser>
          <c:idx val="8"/>
          <c:order val="8"/>
          <c:tx>
            <c:strRef>
              <c:f>PoolPlan_EnergyProj!$K$46</c:f>
              <c:strCache>
                <c:ptCount val="1"/>
                <c:pt idx="0">
                  <c:v>Democratic Republic of Congo</c:v>
                </c:pt>
              </c:strCache>
            </c:strRef>
          </c:tx>
          <c:invertIfNegative val="0"/>
          <c:cat>
            <c:numRef>
              <c:f>PoolPlan_EnergyProj!$B$47:$B$49</c:f>
              <c:numCache>
                <c:formatCode>General</c:formatCode>
                <c:ptCount val="3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PoolPlan_EnergyProj!$K$47:$K$49</c:f>
              <c:numCache>
                <c:formatCode>0</c:formatCode>
                <c:ptCount val="3"/>
                <c:pt idx="0">
                  <c:v>9.39</c:v>
                </c:pt>
                <c:pt idx="1">
                  <c:v>20.272305724391483</c:v>
                </c:pt>
                <c:pt idx="2">
                  <c:v>39.492195030556985</c:v>
                </c:pt>
              </c:numCache>
            </c:numRef>
          </c:val>
        </c:ser>
        <c:ser>
          <c:idx val="9"/>
          <c:order val="9"/>
          <c:tx>
            <c:strRef>
              <c:f>PoolPlan_EnergyProj!$L$46</c:f>
              <c:strCache>
                <c:ptCount val="1"/>
                <c:pt idx="0">
                  <c:v>Zimbabwe</c:v>
                </c:pt>
              </c:strCache>
            </c:strRef>
          </c:tx>
          <c:invertIfNegative val="0"/>
          <c:cat>
            <c:numRef>
              <c:f>PoolPlan_EnergyProj!$B$47:$B$49</c:f>
              <c:numCache>
                <c:formatCode>General</c:formatCode>
                <c:ptCount val="3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PoolPlan_EnergyProj!$L$47:$L$49</c:f>
              <c:numCache>
                <c:formatCode>0</c:formatCode>
                <c:ptCount val="3"/>
                <c:pt idx="0">
                  <c:v>10.142007721871803</c:v>
                </c:pt>
                <c:pt idx="1">
                  <c:v>15.012648967898453</c:v>
                </c:pt>
                <c:pt idx="2">
                  <c:v>22.222387836216967</c:v>
                </c:pt>
              </c:numCache>
            </c:numRef>
          </c:val>
        </c:ser>
        <c:ser>
          <c:idx val="10"/>
          <c:order val="10"/>
          <c:tx>
            <c:strRef>
              <c:f>PoolPlan_EnergyProj!$M$46</c:f>
              <c:strCache>
                <c:ptCount val="1"/>
                <c:pt idx="0">
                  <c:v>Zambia</c:v>
                </c:pt>
              </c:strCache>
            </c:strRef>
          </c:tx>
          <c:invertIfNegative val="0"/>
          <c:cat>
            <c:numRef>
              <c:f>PoolPlan_EnergyProj!$B$47:$B$49</c:f>
              <c:numCache>
                <c:formatCode>General</c:formatCode>
                <c:ptCount val="3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PoolPlan_EnergyProj!$M$47:$M$49</c:f>
              <c:numCache>
                <c:formatCode>0</c:formatCode>
                <c:ptCount val="3"/>
                <c:pt idx="0">
                  <c:v>13.509</c:v>
                </c:pt>
                <c:pt idx="1">
                  <c:v>21.898775695256198</c:v>
                </c:pt>
                <c:pt idx="2">
                  <c:v>35.670798063007261</c:v>
                </c:pt>
              </c:numCache>
            </c:numRef>
          </c:val>
        </c:ser>
        <c:ser>
          <c:idx val="11"/>
          <c:order val="11"/>
          <c:tx>
            <c:strRef>
              <c:f>PoolPlan_EnergyProj!$N$46</c:f>
              <c:strCache>
                <c:ptCount val="1"/>
                <c:pt idx="0">
                  <c:v>South Africa</c:v>
                </c:pt>
              </c:strCache>
            </c:strRef>
          </c:tx>
          <c:invertIfNegative val="0"/>
          <c:cat>
            <c:numRef>
              <c:f>PoolPlan_EnergyProj!$B$47:$B$49</c:f>
              <c:numCache>
                <c:formatCode>General</c:formatCode>
                <c:ptCount val="3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PoolPlan_EnergyProj!$N$47:$N$49</c:f>
              <c:numCache>
                <c:formatCode>0</c:formatCode>
                <c:ptCount val="3"/>
                <c:pt idx="0">
                  <c:v>258.87009788758155</c:v>
                </c:pt>
                <c:pt idx="1">
                  <c:v>354.89883033482505</c:v>
                </c:pt>
                <c:pt idx="2">
                  <c:v>453.06872588803816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1690368"/>
        <c:axId val="331691904"/>
      </c:barChart>
      <c:catAx>
        <c:axId val="33169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1691904"/>
        <c:crosses val="autoZero"/>
        <c:auto val="1"/>
        <c:lblAlgn val="ctr"/>
        <c:lblOffset val="100"/>
        <c:noMultiLvlLbl val="0"/>
      </c:catAx>
      <c:valAx>
        <c:axId val="331691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Electricity Demand (TWh)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331690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PoolPlan_EnergyProj!$S$46</c:f>
              <c:strCache>
                <c:ptCount val="1"/>
                <c:pt idx="0">
                  <c:v>SA High</c:v>
                </c:pt>
              </c:strCache>
            </c:strRef>
          </c:tx>
          <c:marker>
            <c:symbol val="none"/>
          </c:marker>
          <c:cat>
            <c:numRef>
              <c:f>PoolPlan_EnergyProj!$R$47:$R$51</c:f>
              <c:numCache>
                <c:formatCode>General</c:formatCode>
                <c:ptCount val="5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PoolPlan_EnergyProj!$S$47:$S$51</c:f>
              <c:numCache>
                <c:formatCode>0</c:formatCode>
                <c:ptCount val="5"/>
                <c:pt idx="0">
                  <c:v>258.87009788758155</c:v>
                </c:pt>
                <c:pt idx="1">
                  <c:v>388.08707809276217</c:v>
                </c:pt>
                <c:pt idx="2">
                  <c:v>536.34079199641042</c:v>
                </c:pt>
                <c:pt idx="3">
                  <c:v>695.15980000136062</c:v>
                </c:pt>
                <c:pt idx="4">
                  <c:v>881.85489969808657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PoolPlan_EnergyProj!$T$46</c:f>
              <c:strCache>
                <c:ptCount val="1"/>
                <c:pt idx="0">
                  <c:v>SA Ref</c:v>
                </c:pt>
              </c:strCache>
            </c:strRef>
          </c:tx>
          <c:marker>
            <c:symbol val="none"/>
          </c:marker>
          <c:cat>
            <c:numRef>
              <c:f>PoolPlan_EnergyProj!$R$47:$R$51</c:f>
              <c:numCache>
                <c:formatCode>General</c:formatCode>
                <c:ptCount val="5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PoolPlan_EnergyProj!$T$47:$T$51</c:f>
              <c:numCache>
                <c:formatCode>0</c:formatCode>
                <c:ptCount val="5"/>
                <c:pt idx="0">
                  <c:v>258.87009788758155</c:v>
                </c:pt>
                <c:pt idx="1">
                  <c:v>354.89883033482505</c:v>
                </c:pt>
                <c:pt idx="2">
                  <c:v>453.06872588803816</c:v>
                </c:pt>
                <c:pt idx="3">
                  <c:v>569.33644553755983</c:v>
                </c:pt>
                <c:pt idx="4">
                  <c:v>722.2398850926179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PoolPlan_EnergyProj!$U$46</c:f>
              <c:strCache>
                <c:ptCount val="1"/>
                <c:pt idx="0">
                  <c:v>SA Low</c:v>
                </c:pt>
              </c:strCache>
            </c:strRef>
          </c:tx>
          <c:marker>
            <c:symbol val="none"/>
          </c:marker>
          <c:cat>
            <c:numRef>
              <c:f>PoolPlan_EnergyProj!$R$47:$R$51</c:f>
              <c:numCache>
                <c:formatCode>General</c:formatCode>
                <c:ptCount val="5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PoolPlan_EnergyProj!$U$47:$U$51</c:f>
              <c:numCache>
                <c:formatCode>0</c:formatCode>
                <c:ptCount val="5"/>
                <c:pt idx="0">
                  <c:v>258.87009788758155</c:v>
                </c:pt>
                <c:pt idx="1">
                  <c:v>322.10776444660769</c:v>
                </c:pt>
                <c:pt idx="2">
                  <c:v>370.21091542427143</c:v>
                </c:pt>
                <c:pt idx="3">
                  <c:v>413.25203629528698</c:v>
                </c:pt>
                <c:pt idx="4">
                  <c:v>458.21981059647032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738496"/>
        <c:axId val="331740288"/>
      </c:lineChart>
      <c:catAx>
        <c:axId val="3317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1740288"/>
        <c:crosses val="autoZero"/>
        <c:auto val="1"/>
        <c:lblAlgn val="ctr"/>
        <c:lblOffset val="100"/>
        <c:noMultiLvlLbl val="0"/>
      </c:catAx>
      <c:valAx>
        <c:axId val="3317402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331738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PoolPlan_EnergyProj!$W$46</c:f>
              <c:strCache>
                <c:ptCount val="1"/>
                <c:pt idx="0">
                  <c:v>High</c:v>
                </c:pt>
              </c:strCache>
            </c:strRef>
          </c:tx>
          <c:marker>
            <c:symbol val="none"/>
          </c:marker>
          <c:cat>
            <c:numRef>
              <c:f>PoolPlan_EnergyProj!$V$47:$V$51</c:f>
              <c:numCache>
                <c:formatCode>General</c:formatCode>
                <c:ptCount val="5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PoolPlan_EnergyProj!$W$47:$W$51</c:f>
              <c:numCache>
                <c:formatCode>0</c:formatCode>
                <c:ptCount val="5"/>
                <c:pt idx="0">
                  <c:v>318.12010560945333</c:v>
                </c:pt>
                <c:pt idx="1">
                  <c:v>501.76111432815287</c:v>
                </c:pt>
                <c:pt idx="2">
                  <c:v>740.05659770751413</c:v>
                </c:pt>
                <c:pt idx="3">
                  <c:v>1001.4636648194227</c:v>
                </c:pt>
                <c:pt idx="4">
                  <c:v>1300.7746820347811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PoolPlan_EnergyProj!$X$46</c:f>
              <c:strCache>
                <c:ptCount val="1"/>
                <c:pt idx="0">
                  <c:v>Ref</c:v>
                </c:pt>
              </c:strCache>
            </c:strRef>
          </c:tx>
          <c:marker>
            <c:symbol val="none"/>
          </c:marker>
          <c:cat>
            <c:numRef>
              <c:f>PoolPlan_EnergyProj!$V$47:$V$51</c:f>
              <c:numCache>
                <c:formatCode>General</c:formatCode>
                <c:ptCount val="5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PoolPlan_EnergyProj!$X$47:$X$51</c:f>
              <c:numCache>
                <c:formatCode>#,##0</c:formatCode>
                <c:ptCount val="5"/>
                <c:pt idx="0">
                  <c:v>318.12010560945333</c:v>
                </c:pt>
                <c:pt idx="1">
                  <c:v>458.85174393772468</c:v>
                </c:pt>
                <c:pt idx="2">
                  <c:v>625.15569356623519</c:v>
                </c:pt>
                <c:pt idx="3">
                  <c:v>820.19956168666874</c:v>
                </c:pt>
                <c:pt idx="4">
                  <c:v>1065.3355299220154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PoolPlan_EnergyProj!$Y$46</c:f>
              <c:strCache>
                <c:ptCount val="1"/>
                <c:pt idx="0">
                  <c:v>Low</c:v>
                </c:pt>
              </c:strCache>
            </c:strRef>
          </c:tx>
          <c:marker>
            <c:symbol val="none"/>
          </c:marker>
          <c:cat>
            <c:numRef>
              <c:f>PoolPlan_EnergyProj!$V$47:$V$51</c:f>
              <c:numCache>
                <c:formatCode>General</c:formatCode>
                <c:ptCount val="5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PoolPlan_EnergyProj!$Y$47:$Y$51</c:f>
              <c:numCache>
                <c:formatCode>0</c:formatCode>
                <c:ptCount val="5"/>
                <c:pt idx="0">
                  <c:v>318.12010560945333</c:v>
                </c:pt>
                <c:pt idx="1">
                  <c:v>416.45589339578243</c:v>
                </c:pt>
                <c:pt idx="2">
                  <c:v>510.82638984674549</c:v>
                </c:pt>
                <c:pt idx="3">
                  <c:v>595.34066665183616</c:v>
                </c:pt>
                <c:pt idx="4">
                  <c:v>675.89433208878563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64320"/>
        <c:axId val="344670208"/>
      </c:lineChart>
      <c:catAx>
        <c:axId val="34466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4670208"/>
        <c:crosses val="autoZero"/>
        <c:auto val="1"/>
        <c:lblAlgn val="ctr"/>
        <c:lblOffset val="100"/>
        <c:noMultiLvlLbl val="0"/>
      </c:catAx>
      <c:valAx>
        <c:axId val="344670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SAPP Electricity Demand (TWh)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344664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PoolPlan_EnergyProj!$W$46</c:f>
              <c:strCache>
                <c:ptCount val="1"/>
                <c:pt idx="0">
                  <c:v>High</c:v>
                </c:pt>
              </c:strCache>
            </c:strRef>
          </c:tx>
          <c:marker>
            <c:symbol val="none"/>
          </c:marker>
          <c:cat>
            <c:numRef>
              <c:f>PoolPlan_EnergyProj!$V$47:$V$49</c:f>
              <c:numCache>
                <c:formatCode>General</c:formatCode>
                <c:ptCount val="3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PoolPlan_EnergyProj!$W$47:$W$49</c:f>
              <c:numCache>
                <c:formatCode>0</c:formatCode>
                <c:ptCount val="3"/>
                <c:pt idx="0">
                  <c:v>318.12010560945333</c:v>
                </c:pt>
                <c:pt idx="1">
                  <c:v>501.76111432815287</c:v>
                </c:pt>
                <c:pt idx="2">
                  <c:v>740.05659770751413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PoolPlan_EnergyProj!$X$46</c:f>
              <c:strCache>
                <c:ptCount val="1"/>
                <c:pt idx="0">
                  <c:v>Ref</c:v>
                </c:pt>
              </c:strCache>
            </c:strRef>
          </c:tx>
          <c:marker>
            <c:symbol val="none"/>
          </c:marker>
          <c:cat>
            <c:numRef>
              <c:f>PoolPlan_EnergyProj!$V$47:$V$49</c:f>
              <c:numCache>
                <c:formatCode>General</c:formatCode>
                <c:ptCount val="3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PoolPlan_EnergyProj!$X$47:$X$49</c:f>
              <c:numCache>
                <c:formatCode>#,##0</c:formatCode>
                <c:ptCount val="3"/>
                <c:pt idx="0">
                  <c:v>318.12010560945333</c:v>
                </c:pt>
                <c:pt idx="1">
                  <c:v>458.85174393772468</c:v>
                </c:pt>
                <c:pt idx="2">
                  <c:v>625.15569356623519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PoolPlan_EnergyProj!$Y$46</c:f>
              <c:strCache>
                <c:ptCount val="1"/>
                <c:pt idx="0">
                  <c:v>Low</c:v>
                </c:pt>
              </c:strCache>
            </c:strRef>
          </c:tx>
          <c:marker>
            <c:symbol val="none"/>
          </c:marker>
          <c:cat>
            <c:numRef>
              <c:f>PoolPlan_EnergyProj!$V$47:$V$49</c:f>
              <c:numCache>
                <c:formatCode>General</c:formatCode>
                <c:ptCount val="3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PoolPlan_EnergyProj!$Y$47:$Y$49</c:f>
              <c:numCache>
                <c:formatCode>0</c:formatCode>
                <c:ptCount val="3"/>
                <c:pt idx="0">
                  <c:v>318.12010560945333</c:v>
                </c:pt>
                <c:pt idx="1">
                  <c:v>416.45589339578243</c:v>
                </c:pt>
                <c:pt idx="2">
                  <c:v>510.82638984674549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84032"/>
        <c:axId val="344685568"/>
      </c:lineChart>
      <c:catAx>
        <c:axId val="34468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4685568"/>
        <c:crosses val="autoZero"/>
        <c:auto val="1"/>
        <c:lblAlgn val="ctr"/>
        <c:lblOffset val="100"/>
        <c:noMultiLvlLbl val="0"/>
      </c:catAx>
      <c:valAx>
        <c:axId val="344685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SAPP Electricity Demand (TWh)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344684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DemandBreakdown!$D$15</c:f>
              <c:strCache>
                <c:ptCount val="1"/>
                <c:pt idx="0">
                  <c:v>Heavy Industry</c:v>
                </c:pt>
              </c:strCache>
            </c:strRef>
          </c:tx>
          <c:marker>
            <c:symbol val="none"/>
          </c:marker>
          <c:xVal>
            <c:numRef>
              <c:f>DemandBreakdown!$BP$2:$CM$2</c:f>
              <c:numCache>
                <c:formatCode>General</c:formatCode>
                <c:ptCount val="2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2040</c:v>
                </c:pt>
                <c:pt idx="23">
                  <c:v>2050</c:v>
                </c:pt>
              </c:numCache>
            </c:numRef>
          </c:xVal>
          <c:yVal>
            <c:numRef>
              <c:f>DemandBreakdown!$BP$15:$CM$15</c:f>
              <c:numCache>
                <c:formatCode>#,##0</c:formatCode>
                <c:ptCount val="24"/>
                <c:pt idx="0">
                  <c:v>4225.5</c:v>
                </c:pt>
                <c:pt idx="1">
                  <c:v>4766.3640000000005</c:v>
                </c:pt>
                <c:pt idx="2">
                  <c:v>5366.7230400000008</c:v>
                </c:pt>
                <c:pt idx="3">
                  <c:v>6032.6347968000018</c:v>
                </c:pt>
                <c:pt idx="4">
                  <c:v>6770.7454072320024</c:v>
                </c:pt>
                <c:pt idx="5">
                  <c:v>7588.3448526336033</c:v>
                </c:pt>
                <c:pt idx="6">
                  <c:v>8493.4274386931756</c:v>
                </c:pt>
                <c:pt idx="7">
                  <c:v>9494.7578314654238</c:v>
                </c:pt>
                <c:pt idx="8">
                  <c:v>10601.943151473597</c:v>
                </c:pt>
                <c:pt idx="9">
                  <c:v>11825.511672561699</c:v>
                </c:pt>
                <c:pt idx="10">
                  <c:v>13176.998720854466</c:v>
                </c:pt>
                <c:pt idx="11">
                  <c:v>14340.629069434537</c:v>
                </c:pt>
                <c:pt idx="12">
                  <c:v>15606.107481973952</c:v>
                </c:pt>
                <c:pt idx="13">
                  <c:v>16982.282414475292</c:v>
                </c:pt>
                <c:pt idx="14">
                  <c:v>18478.766248292213</c:v>
                </c:pt>
                <c:pt idx="15">
                  <c:v>19919.834213177692</c:v>
                </c:pt>
                <c:pt idx="16">
                  <c:v>21271.431853123675</c:v>
                </c:pt>
                <c:pt idx="17">
                  <c:v>22713.509806695736</c:v>
                </c:pt>
                <c:pt idx="18">
                  <c:v>24252.059960025203</c:v>
                </c:pt>
                <c:pt idx="19">
                  <c:v>25893.467496450103</c:v>
                </c:pt>
                <c:pt idx="20">
                  <c:v>27644.536521389888</c:v>
                </c:pt>
                <c:pt idx="21">
                  <c:v>29303.208712673284</c:v>
                </c:pt>
                <c:pt idx="22">
                  <c:v>37217.579095118868</c:v>
                </c:pt>
                <c:pt idx="23">
                  <c:v>38466.126072166211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DemandBreakdown!$D$16</c:f>
              <c:strCache>
                <c:ptCount val="1"/>
                <c:pt idx="0">
                  <c:v>Urban/Services/Small Industry</c:v>
                </c:pt>
              </c:strCache>
            </c:strRef>
          </c:tx>
          <c:marker>
            <c:symbol val="none"/>
          </c:marker>
          <c:xVal>
            <c:numRef>
              <c:f>DemandBreakdown!$BP$2:$CM$2</c:f>
              <c:numCache>
                <c:formatCode>General</c:formatCode>
                <c:ptCount val="2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2040</c:v>
                </c:pt>
                <c:pt idx="23">
                  <c:v>2050</c:v>
                </c:pt>
              </c:numCache>
            </c:numRef>
          </c:xVal>
          <c:yVal>
            <c:numRef>
              <c:f>DemandBreakdown!$BP$16:$CM$16</c:f>
              <c:numCache>
                <c:formatCode>#,##0</c:formatCode>
                <c:ptCount val="24"/>
                <c:pt idx="0">
                  <c:v>4976.7</c:v>
                </c:pt>
                <c:pt idx="1">
                  <c:v>5151.7296000000006</c:v>
                </c:pt>
                <c:pt idx="2">
                  <c:v>5322.9130560000003</c:v>
                </c:pt>
                <c:pt idx="3">
                  <c:v>5488.5147955200009</c:v>
                </c:pt>
                <c:pt idx="4">
                  <c:v>5646.5461698048011</c:v>
                </c:pt>
                <c:pt idx="5">
                  <c:v>5794.7360692838411</c:v>
                </c:pt>
                <c:pt idx="6">
                  <c:v>5900.6969574078894</c:v>
                </c:pt>
                <c:pt idx="7">
                  <c:v>5986.5252767883685</c:v>
                </c:pt>
                <c:pt idx="8">
                  <c:v>6048.3216667423139</c:v>
                </c:pt>
                <c:pt idx="9">
                  <c:v>6081.6917173174461</c:v>
                </c:pt>
                <c:pt idx="10">
                  <c:v>6081.6917173174452</c:v>
                </c:pt>
                <c:pt idx="11">
                  <c:v>6458.7566037911265</c:v>
                </c:pt>
                <c:pt idx="12">
                  <c:v>6857.229045109766</c:v>
                </c:pt>
                <c:pt idx="13">
                  <c:v>7278.1210347751248</c:v>
                </c:pt>
                <c:pt idx="14">
                  <c:v>7722.4694768982372</c:v>
                </c:pt>
                <c:pt idx="15">
                  <c:v>8115.4880127760944</c:v>
                </c:pt>
                <c:pt idx="16">
                  <c:v>8446.00970638734</c:v>
                </c:pt>
                <c:pt idx="17">
                  <c:v>8786.978246385941</c:v>
                </c:pt>
                <c:pt idx="18">
                  <c:v>9138.4573762413784</c:v>
                </c:pt>
                <c:pt idx="19">
                  <c:v>9500.4808799924813</c:v>
                </c:pt>
                <c:pt idx="20">
                  <c:v>9873.0487576392479</c:v>
                </c:pt>
                <c:pt idx="21">
                  <c:v>10465.431683097604</c:v>
                </c:pt>
                <c:pt idx="22">
                  <c:v>13291.992533971028</c:v>
                </c:pt>
                <c:pt idx="23">
                  <c:v>13737.902168630795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DemandBreakdown!$D$17</c:f>
              <c:strCache>
                <c:ptCount val="1"/>
                <c:pt idx="0">
                  <c:v>Rural</c:v>
                </c:pt>
              </c:strCache>
            </c:strRef>
          </c:tx>
          <c:marker>
            <c:symbol val="none"/>
          </c:marker>
          <c:xVal>
            <c:numRef>
              <c:f>DemandBreakdown!$BP$2:$CM$2</c:f>
              <c:numCache>
                <c:formatCode>General</c:formatCode>
                <c:ptCount val="2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2040</c:v>
                </c:pt>
                <c:pt idx="23">
                  <c:v>2050</c:v>
                </c:pt>
              </c:numCache>
            </c:numRef>
          </c:xVal>
          <c:yVal>
            <c:numRef>
              <c:f>DemandBreakdown!$BP$17:$CM$17</c:f>
              <c:numCache>
                <c:formatCode>#,##0</c:formatCode>
                <c:ptCount val="24"/>
                <c:pt idx="0">
                  <c:v>187.8</c:v>
                </c:pt>
                <c:pt idx="1">
                  <c:v>223.10640000000001</c:v>
                </c:pt>
                <c:pt idx="2">
                  <c:v>262.85990399999997</c:v>
                </c:pt>
                <c:pt idx="3">
                  <c:v>307.54608768000003</c:v>
                </c:pt>
                <c:pt idx="4">
                  <c:v>357.69975736320004</c:v>
                </c:pt>
                <c:pt idx="5">
                  <c:v>413.9097192345601</c:v>
                </c:pt>
                <c:pt idx="6">
                  <c:v>506.6254963431017</c:v>
                </c:pt>
                <c:pt idx="7">
                  <c:v>611.52677558590869</c:v>
                </c:pt>
                <c:pt idx="8">
                  <c:v>729.96985633096904</c:v>
                </c:pt>
                <c:pt idx="9">
                  <c:v>863.45005863148924</c:v>
                </c:pt>
                <c:pt idx="10">
                  <c:v>1013.6152862195743</c:v>
                </c:pt>
                <c:pt idx="11">
                  <c:v>1094.7045091171401</c:v>
                </c:pt>
                <c:pt idx="12">
                  <c:v>1182.2808698465115</c:v>
                </c:pt>
                <c:pt idx="13">
                  <c:v>1276.8633394342326</c:v>
                </c:pt>
                <c:pt idx="14">
                  <c:v>1379.0124065889713</c:v>
                </c:pt>
                <c:pt idx="15">
                  <c:v>1475.5432750501993</c:v>
                </c:pt>
                <c:pt idx="16">
                  <c:v>1564.0758715532113</c:v>
                </c:pt>
                <c:pt idx="17">
                  <c:v>1657.9204238464042</c:v>
                </c:pt>
                <c:pt idx="18">
                  <c:v>1757.3956492771886</c:v>
                </c:pt>
                <c:pt idx="19">
                  <c:v>1862.8393882338203</c:v>
                </c:pt>
                <c:pt idx="20">
                  <c:v>1974.6097515278493</c:v>
                </c:pt>
                <c:pt idx="21">
                  <c:v>2093.0863366195204</c:v>
                </c:pt>
                <c:pt idx="22">
                  <c:v>2658.3985067942049</c:v>
                </c:pt>
                <c:pt idx="23">
                  <c:v>2747.5804337261584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DemandBreakdown!$D$18</c:f>
              <c:strCache>
                <c:ptCount val="1"/>
                <c:pt idx="0">
                  <c:v>Total Demand</c:v>
                </c:pt>
              </c:strCache>
            </c:strRef>
          </c:tx>
          <c:marker>
            <c:symbol val="none"/>
          </c:marker>
          <c:xVal>
            <c:numRef>
              <c:f>DemandBreakdown!$BP$2:$CM$2</c:f>
              <c:numCache>
                <c:formatCode>General</c:formatCode>
                <c:ptCount val="2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2040</c:v>
                </c:pt>
                <c:pt idx="23">
                  <c:v>2050</c:v>
                </c:pt>
              </c:numCache>
            </c:numRef>
          </c:xVal>
          <c:yVal>
            <c:numRef>
              <c:f>DemandBreakdown!$BP$18:$CM$18</c:f>
              <c:numCache>
                <c:formatCode>#,##0</c:formatCode>
                <c:ptCount val="24"/>
                <c:pt idx="0">
                  <c:v>9390</c:v>
                </c:pt>
                <c:pt idx="1">
                  <c:v>10141.200000000001</c:v>
                </c:pt>
                <c:pt idx="2">
                  <c:v>10952.496000000003</c:v>
                </c:pt>
                <c:pt idx="3">
                  <c:v>11828.695680000003</c:v>
                </c:pt>
                <c:pt idx="4">
                  <c:v>12774.991334400003</c:v>
                </c:pt>
                <c:pt idx="5">
                  <c:v>13796.990641152004</c:v>
                </c:pt>
                <c:pt idx="6">
                  <c:v>14900.749892444168</c:v>
                </c:pt>
                <c:pt idx="7">
                  <c:v>16092.809883839702</c:v>
                </c:pt>
                <c:pt idx="8">
                  <c:v>17380.234674546879</c:v>
                </c:pt>
                <c:pt idx="9">
                  <c:v>18770.653448510635</c:v>
                </c:pt>
                <c:pt idx="10">
                  <c:v>20272.305724391485</c:v>
                </c:pt>
                <c:pt idx="11">
                  <c:v>21894.090182342803</c:v>
                </c:pt>
                <c:pt idx="12">
                  <c:v>23645.617396930229</c:v>
                </c:pt>
                <c:pt idx="13">
                  <c:v>25537.26678868465</c:v>
                </c:pt>
                <c:pt idx="14">
                  <c:v>27580.248131779423</c:v>
                </c:pt>
                <c:pt idx="15">
                  <c:v>29510.865501003987</c:v>
                </c:pt>
                <c:pt idx="16">
                  <c:v>31281.517431064225</c:v>
                </c:pt>
                <c:pt idx="17">
                  <c:v>33158.408476928082</c:v>
                </c:pt>
                <c:pt idx="18">
                  <c:v>35147.912985543771</c:v>
                </c:pt>
                <c:pt idx="19">
                  <c:v>37256.787764676403</c:v>
                </c:pt>
                <c:pt idx="20">
                  <c:v>39492.195030556992</c:v>
                </c:pt>
                <c:pt idx="21">
                  <c:v>41861.726732390409</c:v>
                </c:pt>
                <c:pt idx="22">
                  <c:v>53167.970135884105</c:v>
                </c:pt>
                <c:pt idx="23">
                  <c:v>54951.608674523166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716992"/>
        <c:axId val="347722880"/>
      </c:scatterChart>
      <c:valAx>
        <c:axId val="34771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7722880"/>
        <c:crosses val="autoZero"/>
        <c:crossBetween val="midCat"/>
      </c:valAx>
      <c:valAx>
        <c:axId val="3477228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47716992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DemandBreakdown!$D$30</c:f>
              <c:strCache>
                <c:ptCount val="1"/>
                <c:pt idx="0">
                  <c:v>Heavy Industry</c:v>
                </c:pt>
              </c:strCache>
            </c:strRef>
          </c:tx>
          <c:cat>
            <c:numRef>
              <c:f>DemandBreakdown!$BP$2:$CM$2</c:f>
              <c:numCache>
                <c:formatCode>General</c:formatCode>
                <c:ptCount val="2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2040</c:v>
                </c:pt>
                <c:pt idx="23">
                  <c:v>2050</c:v>
                </c:pt>
              </c:numCache>
            </c:numRef>
          </c:cat>
          <c:val>
            <c:numRef>
              <c:f>DemandBreakdown!$BP$30:$CM$30</c:f>
              <c:numCache>
                <c:formatCode>#,##0</c:formatCode>
                <c:ptCount val="24"/>
                <c:pt idx="0">
                  <c:v>3006.4</c:v>
                </c:pt>
                <c:pt idx="1">
                  <c:v>3156.84</c:v>
                </c:pt>
                <c:pt idx="2">
                  <c:v>3329.82</c:v>
                </c:pt>
                <c:pt idx="3">
                  <c:v>3437.28</c:v>
                </c:pt>
                <c:pt idx="4">
                  <c:v>3555.28</c:v>
                </c:pt>
                <c:pt idx="5">
                  <c:v>3673.5</c:v>
                </c:pt>
                <c:pt idx="6">
                  <c:v>3762.16</c:v>
                </c:pt>
                <c:pt idx="7">
                  <c:v>3870.46</c:v>
                </c:pt>
                <c:pt idx="8">
                  <c:v>3970.7999999999997</c:v>
                </c:pt>
                <c:pt idx="9">
                  <c:v>4072.56</c:v>
                </c:pt>
                <c:pt idx="10">
                  <c:v>4176.2</c:v>
                </c:pt>
                <c:pt idx="11">
                  <c:v>4281.45</c:v>
                </c:pt>
                <c:pt idx="12">
                  <c:v>4388.7199999999993</c:v>
                </c:pt>
                <c:pt idx="13">
                  <c:v>4497.7099999999991</c:v>
                </c:pt>
                <c:pt idx="14">
                  <c:v>4608.12</c:v>
                </c:pt>
                <c:pt idx="15">
                  <c:v>4720.2999999999993</c:v>
                </c:pt>
                <c:pt idx="16">
                  <c:v>4834.0664795187613</c:v>
                </c:pt>
                <c:pt idx="17">
                  <c:v>4949.0451085739878</c:v>
                </c:pt>
                <c:pt idx="18">
                  <c:v>5066.2849085487242</c:v>
                </c:pt>
                <c:pt idx="19">
                  <c:v>5184.5017711197461</c:v>
                </c:pt>
                <c:pt idx="20">
                  <c:v>5304.2209804889435</c:v>
                </c:pt>
                <c:pt idx="21">
                  <c:v>5492.2017548596968</c:v>
                </c:pt>
                <c:pt idx="22">
                  <c:v>7533.9427348092258</c:v>
                </c:pt>
                <c:pt idx="23">
                  <c:v>10681.004642231748</c:v>
                </c:pt>
              </c:numCache>
            </c:numRef>
          </c:val>
        </c:ser>
        <c:ser>
          <c:idx val="1"/>
          <c:order val="1"/>
          <c:tx>
            <c:strRef>
              <c:f>DemandBreakdown!$D$31</c:f>
              <c:strCache>
                <c:ptCount val="1"/>
                <c:pt idx="0">
                  <c:v>Urban/Services/Small Industry</c:v>
                </c:pt>
              </c:strCache>
            </c:strRef>
          </c:tx>
          <c:cat>
            <c:numRef>
              <c:f>DemandBreakdown!$BP$2:$CM$2</c:f>
              <c:numCache>
                <c:formatCode>General</c:formatCode>
                <c:ptCount val="2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2040</c:v>
                </c:pt>
                <c:pt idx="23">
                  <c:v>2050</c:v>
                </c:pt>
              </c:numCache>
            </c:numRef>
          </c:cat>
          <c:val>
            <c:numRef>
              <c:f>DemandBreakdown!$BP$31:$CM$31</c:f>
              <c:numCache>
                <c:formatCode>#,##0</c:formatCode>
                <c:ptCount val="24"/>
                <c:pt idx="0">
                  <c:v>676.43999999999983</c:v>
                </c:pt>
                <c:pt idx="1">
                  <c:v>751.24799999999993</c:v>
                </c:pt>
                <c:pt idx="2">
                  <c:v>836.72399999999993</c:v>
                </c:pt>
                <c:pt idx="3">
                  <c:v>910.65599999999995</c:v>
                </c:pt>
                <c:pt idx="4">
                  <c:v>991.73599999999999</c:v>
                </c:pt>
                <c:pt idx="5">
                  <c:v>1077.56</c:v>
                </c:pt>
                <c:pt idx="6">
                  <c:v>1148.9839999999999</c:v>
                </c:pt>
                <c:pt idx="7">
                  <c:v>1230.0640000000001</c:v>
                </c:pt>
                <c:pt idx="8">
                  <c:v>1312.5700000000002</c:v>
                </c:pt>
                <c:pt idx="9">
                  <c:v>1399.5840000000001</c:v>
                </c:pt>
                <c:pt idx="10">
                  <c:v>1491.5000000000002</c:v>
                </c:pt>
                <c:pt idx="11">
                  <c:v>1613.3000000000004</c:v>
                </c:pt>
                <c:pt idx="12">
                  <c:v>1742.5800000000004</c:v>
                </c:pt>
                <c:pt idx="13">
                  <c:v>1879.6400000000006</c:v>
                </c:pt>
                <c:pt idx="14">
                  <c:v>2024.7800000000007</c:v>
                </c:pt>
                <c:pt idx="15">
                  <c:v>2178.6000000000008</c:v>
                </c:pt>
                <c:pt idx="16">
                  <c:v>2341.5009510169011</c:v>
                </c:pt>
                <c:pt idx="17">
                  <c:v>2513.8006900693285</c:v>
                </c:pt>
                <c:pt idx="18">
                  <c:v>2696.5709997114191</c:v>
                </c:pt>
                <c:pt idx="19">
                  <c:v>2889.7222986569095</c:v>
                </c:pt>
                <c:pt idx="20">
                  <c:v>3094.1289052852171</c:v>
                </c:pt>
                <c:pt idx="21">
                  <c:v>3240.1692361306164</c:v>
                </c:pt>
                <c:pt idx="22">
                  <c:v>4913.440914006017</c:v>
                </c:pt>
                <c:pt idx="23">
                  <c:v>7768.0033761685427</c:v>
                </c:pt>
              </c:numCache>
            </c:numRef>
          </c:val>
        </c:ser>
        <c:ser>
          <c:idx val="2"/>
          <c:order val="2"/>
          <c:tx>
            <c:strRef>
              <c:f>DemandBreakdown!$D$32</c:f>
              <c:strCache>
                <c:ptCount val="1"/>
                <c:pt idx="0">
                  <c:v>Rural</c:v>
                </c:pt>
              </c:strCache>
            </c:strRef>
          </c:tx>
          <c:cat>
            <c:numRef>
              <c:f>DemandBreakdown!$BP$2:$CM$2</c:f>
              <c:numCache>
                <c:formatCode>General</c:formatCode>
                <c:ptCount val="2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2040</c:v>
                </c:pt>
                <c:pt idx="23">
                  <c:v>2050</c:v>
                </c:pt>
              </c:numCache>
            </c:numRef>
          </c:cat>
          <c:val>
            <c:numRef>
              <c:f>DemandBreakdown!$BP$32:$CM$32</c:f>
              <c:numCache>
                <c:formatCode>#,##0</c:formatCode>
                <c:ptCount val="24"/>
                <c:pt idx="0">
                  <c:v>75.16</c:v>
                </c:pt>
                <c:pt idx="1">
                  <c:v>87.911999999999992</c:v>
                </c:pt>
                <c:pt idx="2">
                  <c:v>102.45599999999999</c:v>
                </c:pt>
                <c:pt idx="3">
                  <c:v>116.06399999999998</c:v>
                </c:pt>
                <c:pt idx="4">
                  <c:v>130.98399999999998</c:v>
                </c:pt>
                <c:pt idx="5">
                  <c:v>146.94</c:v>
                </c:pt>
                <c:pt idx="6">
                  <c:v>172.85600000000002</c:v>
                </c:pt>
                <c:pt idx="7">
                  <c:v>201.47600000000003</c:v>
                </c:pt>
                <c:pt idx="8">
                  <c:v>231.63000000000005</c:v>
                </c:pt>
                <c:pt idx="9">
                  <c:v>263.85600000000005</c:v>
                </c:pt>
                <c:pt idx="10">
                  <c:v>298.3</c:v>
                </c:pt>
                <c:pt idx="11">
                  <c:v>310.25</c:v>
                </c:pt>
                <c:pt idx="12">
                  <c:v>322.70000000000005</c:v>
                </c:pt>
                <c:pt idx="13">
                  <c:v>335.65000000000003</c:v>
                </c:pt>
                <c:pt idx="14">
                  <c:v>349.1</c:v>
                </c:pt>
                <c:pt idx="15">
                  <c:v>363.1</c:v>
                </c:pt>
                <c:pt idx="16">
                  <c:v>377.6614437124033</c:v>
                </c:pt>
                <c:pt idx="17">
                  <c:v>392.78135782333243</c:v>
                </c:pt>
                <c:pt idx="18">
                  <c:v>408.5713635926391</c:v>
                </c:pt>
                <c:pt idx="19">
                  <c:v>424.95916156719244</c:v>
                </c:pt>
                <c:pt idx="20">
                  <c:v>442.01841504074531</c:v>
                </c:pt>
                <c:pt idx="21">
                  <c:v>459.59847321001644</c:v>
                </c:pt>
                <c:pt idx="22">
                  <c:v>655.12545520080232</c:v>
                </c:pt>
                <c:pt idx="23">
                  <c:v>971.00042202106806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735552"/>
        <c:axId val="347737088"/>
      </c:areaChart>
      <c:dateAx>
        <c:axId val="34773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7737088"/>
        <c:crosses val="autoZero"/>
        <c:auto val="0"/>
        <c:lblOffset val="100"/>
        <c:baseTimeUnit val="days"/>
      </c:dateAx>
      <c:valAx>
        <c:axId val="3477370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47735552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DemandBreakdown!$CN$65</c:f>
              <c:strCache>
                <c:ptCount val="1"/>
                <c:pt idx="0">
                  <c:v>Industry</c:v>
                </c:pt>
              </c:strCache>
            </c:strRef>
          </c:tx>
          <c:cat>
            <c:numRef>
              <c:f>DemandBreakdown!$CO$64:$DI$64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DemandBreakdown!$CO$65:$DI$65</c:f>
              <c:numCache>
                <c:formatCode>0.0</c:formatCode>
                <c:ptCount val="21"/>
                <c:pt idx="0">
                  <c:v>186.12634800000004</c:v>
                </c:pt>
                <c:pt idx="1">
                  <c:v>192.43617599999999</c:v>
                </c:pt>
                <c:pt idx="2">
                  <c:v>199.23393600000003</c:v>
                </c:pt>
                <c:pt idx="3">
                  <c:v>207.30890399999998</c:v>
                </c:pt>
                <c:pt idx="4">
                  <c:v>213.75276000000002</c:v>
                </c:pt>
                <c:pt idx="5">
                  <c:v>222.33142799999996</c:v>
                </c:pt>
                <c:pt idx="6">
                  <c:v>228.04032000000004</c:v>
                </c:pt>
                <c:pt idx="7">
                  <c:v>234.46052399999999</c:v>
                </c:pt>
                <c:pt idx="8">
                  <c:v>241.40107199999994</c:v>
                </c:pt>
                <c:pt idx="9">
                  <c:v>248.83130400000005</c:v>
                </c:pt>
                <c:pt idx="10">
                  <c:v>255.25325999999995</c:v>
                </c:pt>
                <c:pt idx="11">
                  <c:v>262.29717599999998</c:v>
                </c:pt>
                <c:pt idx="12">
                  <c:v>268.91185200000001</c:v>
                </c:pt>
                <c:pt idx="13">
                  <c:v>275.50112399999995</c:v>
                </c:pt>
                <c:pt idx="14">
                  <c:v>282.27523199999996</c:v>
                </c:pt>
                <c:pt idx="15">
                  <c:v>290.40451200000001</c:v>
                </c:pt>
                <c:pt idx="16">
                  <c:v>298.46371200000004</c:v>
                </c:pt>
                <c:pt idx="17">
                  <c:v>306.04374000000001</c:v>
                </c:pt>
                <c:pt idx="18">
                  <c:v>313.56069600000006</c:v>
                </c:pt>
                <c:pt idx="19">
                  <c:v>321.30979199999996</c:v>
                </c:pt>
                <c:pt idx="20">
                  <c:v>327.65641199999993</c:v>
                </c:pt>
              </c:numCache>
            </c:numRef>
          </c:val>
        </c:ser>
        <c:ser>
          <c:idx val="1"/>
          <c:order val="1"/>
          <c:tx>
            <c:strRef>
              <c:f>DemandBreakdown!$CN$66</c:f>
              <c:strCache>
                <c:ptCount val="1"/>
                <c:pt idx="0">
                  <c:v>Urban</c:v>
                </c:pt>
              </c:strCache>
            </c:strRef>
          </c:tx>
          <c:cat>
            <c:numRef>
              <c:f>DemandBreakdown!$CO$64:$DI$64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DemandBreakdown!$CO$66:$DI$66</c:f>
              <c:numCache>
                <c:formatCode>0.0</c:formatCode>
                <c:ptCount val="21"/>
                <c:pt idx="0">
                  <c:v>90.916536000000008</c:v>
                </c:pt>
                <c:pt idx="1">
                  <c:v>94.19189999999999</c:v>
                </c:pt>
                <c:pt idx="2">
                  <c:v>97.63458</c:v>
                </c:pt>
                <c:pt idx="3">
                  <c:v>101.69483999999999</c:v>
                </c:pt>
                <c:pt idx="4">
                  <c:v>105.006996</c:v>
                </c:pt>
                <c:pt idx="5">
                  <c:v>109.18639200000001</c:v>
                </c:pt>
                <c:pt idx="6">
                  <c:v>116.20315199999999</c:v>
                </c:pt>
                <c:pt idx="7">
                  <c:v>123.97239599999999</c:v>
                </c:pt>
                <c:pt idx="8">
                  <c:v>132.14985599999997</c:v>
                </c:pt>
                <c:pt idx="9">
                  <c:v>140.86255199999999</c:v>
                </c:pt>
                <c:pt idx="10">
                  <c:v>149.27302799999998</c:v>
                </c:pt>
                <c:pt idx="11">
                  <c:v>155.60650799999999</c:v>
                </c:pt>
                <c:pt idx="12">
                  <c:v>161.80333199999998</c:v>
                </c:pt>
                <c:pt idx="13">
                  <c:v>168.12367199999997</c:v>
                </c:pt>
                <c:pt idx="14">
                  <c:v>174.651624</c:v>
                </c:pt>
                <c:pt idx="15">
                  <c:v>182.13879599999999</c:v>
                </c:pt>
                <c:pt idx="16">
                  <c:v>189.735468</c:v>
                </c:pt>
                <c:pt idx="17">
                  <c:v>197.14730399999999</c:v>
                </c:pt>
                <c:pt idx="18">
                  <c:v>204.63622800000005</c:v>
                </c:pt>
                <c:pt idx="19">
                  <c:v>212.39408399999999</c:v>
                </c:pt>
                <c:pt idx="20">
                  <c:v>219.31360799999999</c:v>
                </c:pt>
              </c:numCache>
            </c:numRef>
          </c:val>
        </c:ser>
        <c:ser>
          <c:idx val="2"/>
          <c:order val="2"/>
          <c:tx>
            <c:strRef>
              <c:f>DemandBreakdown!$CN$67</c:f>
              <c:strCache>
                <c:ptCount val="1"/>
                <c:pt idx="0">
                  <c:v>Rural</c:v>
                </c:pt>
              </c:strCache>
            </c:strRef>
          </c:tx>
          <c:cat>
            <c:numRef>
              <c:f>DemandBreakdown!$CO$64:$DI$64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DemandBreakdown!$CO$67:$DI$67</c:f>
              <c:numCache>
                <c:formatCode>0.0</c:formatCode>
                <c:ptCount val="21"/>
                <c:pt idx="0">
                  <c:v>4.5797279999999994</c:v>
                </c:pt>
                <c:pt idx="1">
                  <c:v>5.2227119999999996</c:v>
                </c:pt>
                <c:pt idx="2">
                  <c:v>5.9147519999999991</c:v>
                </c:pt>
                <c:pt idx="3">
                  <c:v>6.6856320000000009</c:v>
                </c:pt>
                <c:pt idx="4">
                  <c:v>7.4486280000000002</c:v>
                </c:pt>
                <c:pt idx="5">
                  <c:v>8.3246280000000006</c:v>
                </c:pt>
                <c:pt idx="6">
                  <c:v>8.9334479999999985</c:v>
                </c:pt>
                <c:pt idx="7">
                  <c:v>9.6123480000000026</c:v>
                </c:pt>
                <c:pt idx="8">
                  <c:v>10.351691999999998</c:v>
                </c:pt>
                <c:pt idx="9">
                  <c:v>11.155860000000001</c:v>
                </c:pt>
                <c:pt idx="10">
                  <c:v>11.963531999999997</c:v>
                </c:pt>
                <c:pt idx="11">
                  <c:v>12.975312000000002</c:v>
                </c:pt>
                <c:pt idx="12">
                  <c:v>14.009868000000001</c:v>
                </c:pt>
                <c:pt idx="13">
                  <c:v>15.079463999999998</c:v>
                </c:pt>
                <c:pt idx="14">
                  <c:v>16.194611999999999</c:v>
                </c:pt>
                <c:pt idx="15">
                  <c:v>17.421011999999997</c:v>
                </c:pt>
                <c:pt idx="16">
                  <c:v>18.690336000000002</c:v>
                </c:pt>
                <c:pt idx="17">
                  <c:v>19.972799999999999</c:v>
                </c:pt>
                <c:pt idx="18">
                  <c:v>21.292931999999997</c:v>
                </c:pt>
                <c:pt idx="19">
                  <c:v>22.67088</c:v>
                </c:pt>
                <c:pt idx="20">
                  <c:v>23.985755999999995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771264"/>
        <c:axId val="347772800"/>
      </c:areaChart>
      <c:catAx>
        <c:axId val="34777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7772800"/>
        <c:crosses val="autoZero"/>
        <c:auto val="1"/>
        <c:lblAlgn val="ctr"/>
        <c:lblOffset val="100"/>
        <c:noMultiLvlLbl val="0"/>
      </c:catAx>
      <c:valAx>
        <c:axId val="347772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Final Electricity Demand (TWh)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347771264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51</xdr:row>
      <xdr:rowOff>104775</xdr:rowOff>
    </xdr:from>
    <xdr:to>
      <xdr:col>10</xdr:col>
      <xdr:colOff>342900</xdr:colOff>
      <xdr:row>72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495300</xdr:colOff>
      <xdr:row>52</xdr:row>
      <xdr:rowOff>28575</xdr:rowOff>
    </xdr:from>
    <xdr:to>
      <xdr:col>20</xdr:col>
      <xdr:colOff>285750</xdr:colOff>
      <xdr:row>72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133350</xdr:colOff>
      <xdr:row>38</xdr:row>
      <xdr:rowOff>85725</xdr:rowOff>
    </xdr:from>
    <xdr:to>
      <xdr:col>11</xdr:col>
      <xdr:colOff>438150</xdr:colOff>
      <xdr:row>52</xdr:row>
      <xdr:rowOff>161925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190500</xdr:colOff>
      <xdr:row>40</xdr:row>
      <xdr:rowOff>85725</xdr:rowOff>
    </xdr:from>
    <xdr:to>
      <xdr:col>23</xdr:col>
      <xdr:colOff>428625</xdr:colOff>
      <xdr:row>54</xdr:row>
      <xdr:rowOff>161925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19050</xdr:colOff>
      <xdr:row>40</xdr:row>
      <xdr:rowOff>9525</xdr:rowOff>
    </xdr:from>
    <xdr:to>
      <xdr:col>31</xdr:col>
      <xdr:colOff>323850</xdr:colOff>
      <xdr:row>54</xdr:row>
      <xdr:rowOff>85725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6</xdr:col>
      <xdr:colOff>9525</xdr:colOff>
      <xdr:row>46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477000"/>
          <a:ext cx="4105275" cy="255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61912</xdr:colOff>
      <xdr:row>36</xdr:row>
      <xdr:rowOff>114300</xdr:rowOff>
    </xdr:from>
    <xdr:to>
      <xdr:col>76</xdr:col>
      <xdr:colOff>366712</xdr:colOff>
      <xdr:row>51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68</xdr:col>
      <xdr:colOff>552450</xdr:colOff>
      <xdr:row>53</xdr:row>
      <xdr:rowOff>104775</xdr:rowOff>
    </xdr:from>
    <xdr:to>
      <xdr:col>76</xdr:col>
      <xdr:colOff>247650</xdr:colOff>
      <xdr:row>63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101</xdr:col>
      <xdr:colOff>142875</xdr:colOff>
      <xdr:row>68</xdr:row>
      <xdr:rowOff>109536</xdr:rowOff>
    </xdr:from>
    <xdr:to>
      <xdr:col>109</xdr:col>
      <xdr:colOff>419100</xdr:colOff>
      <xdr:row>85</xdr:row>
      <xdr:rowOff>38099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447675</xdr:colOff>
      <xdr:row>32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8982075" cy="5972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uno/My%20Documents/IAEA/SADC_IAEA/Data%20for%20report%201/SADC%20Supply_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Convs"/>
      <sheetName val="SA System"/>
      <sheetName val="EskomCoalEff"/>
      <sheetName val="HistCapSA"/>
      <sheetName val="Total Existing Capacity"/>
      <sheetName val="SAPP Thermal Existing"/>
      <sheetName val="SAPP Hydro Existing"/>
      <sheetName val="MSG_Exist"/>
      <sheetName val="adb_exist"/>
      <sheetName val="adb_exist2"/>
      <sheetName val="SiteSpecific_data"/>
      <sheetName val="MSG_SiteSpecific"/>
      <sheetName val="adb_sitespec"/>
      <sheetName val="adb_sitespec2"/>
      <sheetName val="Oper therm SiteSpec"/>
      <sheetName val="Oper hydro SiteSpec"/>
      <sheetName val="GenericSourceData"/>
      <sheetName val="MSG_Generic"/>
      <sheetName val="adb_generic"/>
      <sheetName val="adb_generic2"/>
      <sheetName val="CurAssumptions"/>
      <sheetName val="SAPP_FuelPrices"/>
      <sheetName val="FuelSourceData"/>
      <sheetName val="MSG_Fueldata"/>
    </sheetNames>
    <sheetDataSet>
      <sheetData sheetId="0"/>
      <sheetData sheetId="1"/>
      <sheetData sheetId="2"/>
      <sheetData sheetId="3"/>
      <sheetData sheetId="4">
        <row r="3">
          <cell r="A3" t="str">
            <v>Angola</v>
          </cell>
          <cell r="B3" t="str">
            <v>ANG</v>
          </cell>
          <cell r="C3">
            <v>263</v>
          </cell>
          <cell r="D3">
            <v>474</v>
          </cell>
          <cell r="E3">
            <v>737</v>
          </cell>
          <cell r="F3">
            <v>1977.4060566000003</v>
          </cell>
          <cell r="G3">
            <v>2595</v>
          </cell>
          <cell r="H3">
            <v>1713</v>
          </cell>
          <cell r="I3">
            <v>4572.4060566000007</v>
          </cell>
          <cell r="J3">
            <v>3690.4060566000003</v>
          </cell>
        </row>
        <row r="4">
          <cell r="A4" t="str">
            <v>Botswana</v>
          </cell>
          <cell r="B4" t="str">
            <v>BOT</v>
          </cell>
          <cell r="C4">
            <v>120</v>
          </cell>
          <cell r="D4">
            <v>0</v>
          </cell>
          <cell r="E4">
            <v>120</v>
          </cell>
          <cell r="F4">
            <v>925.07954688000007</v>
          </cell>
          <cell r="G4">
            <v>0</v>
          </cell>
          <cell r="H4">
            <v>0</v>
          </cell>
          <cell r="I4">
            <v>925.07954688000007</v>
          </cell>
          <cell r="J4">
            <v>925.07954688000007</v>
          </cell>
        </row>
        <row r="5">
          <cell r="A5" t="str">
            <v>Democratic Republic of Congo</v>
          </cell>
          <cell r="B5" t="str">
            <v>DRC</v>
          </cell>
          <cell r="C5">
            <v>0</v>
          </cell>
          <cell r="D5">
            <v>2333</v>
          </cell>
          <cell r="E5">
            <v>2333</v>
          </cell>
          <cell r="F5">
            <v>0</v>
          </cell>
          <cell r="G5">
            <v>14259</v>
          </cell>
          <cell r="H5">
            <v>11183</v>
          </cell>
          <cell r="I5">
            <v>14259</v>
          </cell>
          <cell r="J5">
            <v>11183</v>
          </cell>
        </row>
        <row r="6">
          <cell r="A6" t="str">
            <v>Lesotho</v>
          </cell>
          <cell r="B6" t="str">
            <v>LST</v>
          </cell>
          <cell r="C6">
            <v>0</v>
          </cell>
          <cell r="D6">
            <v>73</v>
          </cell>
          <cell r="E6">
            <v>73</v>
          </cell>
          <cell r="F6">
            <v>0</v>
          </cell>
          <cell r="G6">
            <v>414</v>
          </cell>
          <cell r="H6">
            <v>274</v>
          </cell>
          <cell r="I6">
            <v>414</v>
          </cell>
          <cell r="J6">
            <v>274</v>
          </cell>
        </row>
        <row r="7">
          <cell r="A7" t="str">
            <v>Malawi</v>
          </cell>
          <cell r="B7" t="str">
            <v>MAL</v>
          </cell>
          <cell r="C7">
            <v>36</v>
          </cell>
          <cell r="D7">
            <v>225.6</v>
          </cell>
          <cell r="E7">
            <v>261.60000000000002</v>
          </cell>
          <cell r="F7">
            <v>252.58916879999998</v>
          </cell>
          <cell r="G7">
            <v>1391</v>
          </cell>
          <cell r="H7">
            <v>919</v>
          </cell>
          <cell r="I7">
            <v>1643.5891687999999</v>
          </cell>
          <cell r="J7">
            <v>1171.5891687999999</v>
          </cell>
        </row>
        <row r="8">
          <cell r="A8" t="str">
            <v>Mozambique</v>
          </cell>
          <cell r="B8" t="str">
            <v>MOZ</v>
          </cell>
          <cell r="C8">
            <v>64</v>
          </cell>
          <cell r="D8">
            <v>2122</v>
          </cell>
          <cell r="E8">
            <v>2186</v>
          </cell>
          <cell r="F8">
            <v>449.0474112</v>
          </cell>
          <cell r="G8">
            <v>15604</v>
          </cell>
          <cell r="H8">
            <v>12107</v>
          </cell>
          <cell r="I8">
            <v>16053.047411199999</v>
          </cell>
          <cell r="J8">
            <v>12556.047411199999</v>
          </cell>
        </row>
        <row r="9">
          <cell r="A9" t="str">
            <v>Namibia</v>
          </cell>
          <cell r="B9" t="str">
            <v>NAM</v>
          </cell>
          <cell r="C9">
            <v>144</v>
          </cell>
          <cell r="D9">
            <v>240</v>
          </cell>
          <cell r="E9">
            <v>384</v>
          </cell>
          <cell r="F9">
            <v>1126.7056629792</v>
          </cell>
          <cell r="G9">
            <v>1395</v>
          </cell>
          <cell r="H9">
            <v>921</v>
          </cell>
          <cell r="I9">
            <v>2521.7056629792</v>
          </cell>
          <cell r="J9">
            <v>2047.7056629792</v>
          </cell>
        </row>
        <row r="10">
          <cell r="A10" t="str">
            <v>Swaziland</v>
          </cell>
          <cell r="B10" t="str">
            <v>SWA</v>
          </cell>
          <cell r="C10">
            <v>0</v>
          </cell>
          <cell r="D10">
            <v>62</v>
          </cell>
          <cell r="E10">
            <v>62</v>
          </cell>
          <cell r="F10">
            <v>0</v>
          </cell>
          <cell r="G10">
            <v>202</v>
          </cell>
          <cell r="H10">
            <v>134</v>
          </cell>
          <cell r="I10">
            <v>202</v>
          </cell>
          <cell r="J10">
            <v>134</v>
          </cell>
        </row>
        <row r="11">
          <cell r="A11" t="str">
            <v>Tanzania</v>
          </cell>
          <cell r="B11" t="str">
            <v>TAN</v>
          </cell>
          <cell r="C11">
            <v>719</v>
          </cell>
          <cell r="D11">
            <v>561</v>
          </cell>
          <cell r="E11">
            <v>1280</v>
          </cell>
          <cell r="F11">
            <v>5932.3740498827992</v>
          </cell>
          <cell r="G11">
            <v>1525</v>
          </cell>
          <cell r="H11">
            <v>1007</v>
          </cell>
          <cell r="I11">
            <v>7457.3740498827992</v>
          </cell>
          <cell r="J11">
            <v>6939.3740498827992</v>
          </cell>
        </row>
        <row r="12">
          <cell r="A12" t="str">
            <v>Zambia</v>
          </cell>
          <cell r="B12" t="str">
            <v>ZAM</v>
          </cell>
          <cell r="C12">
            <v>10</v>
          </cell>
          <cell r="D12">
            <v>1752</v>
          </cell>
          <cell r="E12">
            <v>1762</v>
          </cell>
          <cell r="F12">
            <v>70.163657999999984</v>
          </cell>
          <cell r="G12">
            <v>10043</v>
          </cell>
          <cell r="H12">
            <v>7778</v>
          </cell>
          <cell r="I12">
            <v>10113.163657999999</v>
          </cell>
          <cell r="J12">
            <v>7848.1636580000004</v>
          </cell>
        </row>
        <row r="13">
          <cell r="A13" t="str">
            <v>Zimbabwe</v>
          </cell>
          <cell r="B13" t="str">
            <v>ZIM</v>
          </cell>
          <cell r="C13">
            <v>1155</v>
          </cell>
          <cell r="D13">
            <v>750</v>
          </cell>
          <cell r="E13">
            <v>1905</v>
          </cell>
          <cell r="F13">
            <v>8903.8906387200004</v>
          </cell>
          <cell r="G13">
            <v>4000</v>
          </cell>
          <cell r="H13">
            <v>3137</v>
          </cell>
          <cell r="I13">
            <v>12903.89063872</v>
          </cell>
          <cell r="J13">
            <v>12040.89063872</v>
          </cell>
        </row>
        <row r="14">
          <cell r="A14" t="str">
            <v>South Africa</v>
          </cell>
          <cell r="B14" t="str">
            <v>SAF</v>
          </cell>
          <cell r="C14">
            <v>39143</v>
          </cell>
          <cell r="D14">
            <v>2245</v>
          </cell>
          <cell r="E14">
            <v>41388</v>
          </cell>
          <cell r="F14">
            <v>278240.23552954558</v>
          </cell>
          <cell r="G14">
            <v>878.4265200000001</v>
          </cell>
          <cell r="H14">
            <v>878.4265200000001</v>
          </cell>
          <cell r="I14">
            <v>279118.66204954556</v>
          </cell>
          <cell r="J14">
            <v>279118.66204954556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D71"/>
  <sheetViews>
    <sheetView workbookViewId="0"/>
  </sheetViews>
  <sheetFormatPr defaultRowHeight="12.75" x14ac:dyDescent="0.2"/>
  <cols>
    <col min="1" max="1" width="66.140625" style="2" customWidth="1"/>
    <col min="2" max="2" width="9.140625" style="2"/>
    <col min="3" max="26" width="11.28515625" style="2" bestFit="1" customWidth="1"/>
    <col min="27" max="27" width="9.85546875" style="2" customWidth="1"/>
    <col min="28" max="253" width="9.140625" style="2"/>
    <col min="254" max="254" width="66.140625" style="2" customWidth="1"/>
    <col min="255" max="257" width="9.140625" style="2"/>
    <col min="258" max="258" width="9.7109375" style="2" customWidth="1"/>
    <col min="259" max="282" width="11.28515625" style="2" bestFit="1" customWidth="1"/>
    <col min="283" max="509" width="9.140625" style="2"/>
    <col min="510" max="510" width="66.140625" style="2" customWidth="1"/>
    <col min="511" max="513" width="9.140625" style="2"/>
    <col min="514" max="514" width="9.7109375" style="2" customWidth="1"/>
    <col min="515" max="538" width="11.28515625" style="2" bestFit="1" customWidth="1"/>
    <col min="539" max="765" width="9.140625" style="2"/>
    <col min="766" max="766" width="66.140625" style="2" customWidth="1"/>
    <col min="767" max="769" width="9.140625" style="2"/>
    <col min="770" max="770" width="9.7109375" style="2" customWidth="1"/>
    <col min="771" max="794" width="11.28515625" style="2" bestFit="1" customWidth="1"/>
    <col min="795" max="1021" width="9.140625" style="2"/>
    <col min="1022" max="1022" width="66.140625" style="2" customWidth="1"/>
    <col min="1023" max="1025" width="9.140625" style="2"/>
    <col min="1026" max="1026" width="9.7109375" style="2" customWidth="1"/>
    <col min="1027" max="1050" width="11.28515625" style="2" bestFit="1" customWidth="1"/>
    <col min="1051" max="1277" width="9.140625" style="2"/>
    <col min="1278" max="1278" width="66.140625" style="2" customWidth="1"/>
    <col min="1279" max="1281" width="9.140625" style="2"/>
    <col min="1282" max="1282" width="9.7109375" style="2" customWidth="1"/>
    <col min="1283" max="1306" width="11.28515625" style="2" bestFit="1" customWidth="1"/>
    <col min="1307" max="1533" width="9.140625" style="2"/>
    <col min="1534" max="1534" width="66.140625" style="2" customWidth="1"/>
    <col min="1535" max="1537" width="9.140625" style="2"/>
    <col min="1538" max="1538" width="9.7109375" style="2" customWidth="1"/>
    <col min="1539" max="1562" width="11.28515625" style="2" bestFit="1" customWidth="1"/>
    <col min="1563" max="1789" width="9.140625" style="2"/>
    <col min="1790" max="1790" width="66.140625" style="2" customWidth="1"/>
    <col min="1791" max="1793" width="9.140625" style="2"/>
    <col min="1794" max="1794" width="9.7109375" style="2" customWidth="1"/>
    <col min="1795" max="1818" width="11.28515625" style="2" bestFit="1" customWidth="1"/>
    <col min="1819" max="2045" width="9.140625" style="2"/>
    <col min="2046" max="2046" width="66.140625" style="2" customWidth="1"/>
    <col min="2047" max="2049" width="9.140625" style="2"/>
    <col min="2050" max="2050" width="9.7109375" style="2" customWidth="1"/>
    <col min="2051" max="2074" width="11.28515625" style="2" bestFit="1" customWidth="1"/>
    <col min="2075" max="2301" width="9.140625" style="2"/>
    <col min="2302" max="2302" width="66.140625" style="2" customWidth="1"/>
    <col min="2303" max="2305" width="9.140625" style="2"/>
    <col min="2306" max="2306" width="9.7109375" style="2" customWidth="1"/>
    <col min="2307" max="2330" width="11.28515625" style="2" bestFit="1" customWidth="1"/>
    <col min="2331" max="2557" width="9.140625" style="2"/>
    <col min="2558" max="2558" width="66.140625" style="2" customWidth="1"/>
    <col min="2559" max="2561" width="9.140625" style="2"/>
    <col min="2562" max="2562" width="9.7109375" style="2" customWidth="1"/>
    <col min="2563" max="2586" width="11.28515625" style="2" bestFit="1" customWidth="1"/>
    <col min="2587" max="2813" width="9.140625" style="2"/>
    <col min="2814" max="2814" width="66.140625" style="2" customWidth="1"/>
    <col min="2815" max="2817" width="9.140625" style="2"/>
    <col min="2818" max="2818" width="9.7109375" style="2" customWidth="1"/>
    <col min="2819" max="2842" width="11.28515625" style="2" bestFit="1" customWidth="1"/>
    <col min="2843" max="3069" width="9.140625" style="2"/>
    <col min="3070" max="3070" width="66.140625" style="2" customWidth="1"/>
    <col min="3071" max="3073" width="9.140625" style="2"/>
    <col min="3074" max="3074" width="9.7109375" style="2" customWidth="1"/>
    <col min="3075" max="3098" width="11.28515625" style="2" bestFit="1" customWidth="1"/>
    <col min="3099" max="3325" width="9.140625" style="2"/>
    <col min="3326" max="3326" width="66.140625" style="2" customWidth="1"/>
    <col min="3327" max="3329" width="9.140625" style="2"/>
    <col min="3330" max="3330" width="9.7109375" style="2" customWidth="1"/>
    <col min="3331" max="3354" width="11.28515625" style="2" bestFit="1" customWidth="1"/>
    <col min="3355" max="3581" width="9.140625" style="2"/>
    <col min="3582" max="3582" width="66.140625" style="2" customWidth="1"/>
    <col min="3583" max="3585" width="9.140625" style="2"/>
    <col min="3586" max="3586" width="9.7109375" style="2" customWidth="1"/>
    <col min="3587" max="3610" width="11.28515625" style="2" bestFit="1" customWidth="1"/>
    <col min="3611" max="3837" width="9.140625" style="2"/>
    <col min="3838" max="3838" width="66.140625" style="2" customWidth="1"/>
    <col min="3839" max="3841" width="9.140625" style="2"/>
    <col min="3842" max="3842" width="9.7109375" style="2" customWidth="1"/>
    <col min="3843" max="3866" width="11.28515625" style="2" bestFit="1" customWidth="1"/>
    <col min="3867" max="4093" width="9.140625" style="2"/>
    <col min="4094" max="4094" width="66.140625" style="2" customWidth="1"/>
    <col min="4095" max="4097" width="9.140625" style="2"/>
    <col min="4098" max="4098" width="9.7109375" style="2" customWidth="1"/>
    <col min="4099" max="4122" width="11.28515625" style="2" bestFit="1" customWidth="1"/>
    <col min="4123" max="4349" width="9.140625" style="2"/>
    <col min="4350" max="4350" width="66.140625" style="2" customWidth="1"/>
    <col min="4351" max="4353" width="9.140625" style="2"/>
    <col min="4354" max="4354" width="9.7109375" style="2" customWidth="1"/>
    <col min="4355" max="4378" width="11.28515625" style="2" bestFit="1" customWidth="1"/>
    <col min="4379" max="4605" width="9.140625" style="2"/>
    <col min="4606" max="4606" width="66.140625" style="2" customWidth="1"/>
    <col min="4607" max="4609" width="9.140625" style="2"/>
    <col min="4610" max="4610" width="9.7109375" style="2" customWidth="1"/>
    <col min="4611" max="4634" width="11.28515625" style="2" bestFit="1" customWidth="1"/>
    <col min="4635" max="4861" width="9.140625" style="2"/>
    <col min="4862" max="4862" width="66.140625" style="2" customWidth="1"/>
    <col min="4863" max="4865" width="9.140625" style="2"/>
    <col min="4866" max="4866" width="9.7109375" style="2" customWidth="1"/>
    <col min="4867" max="4890" width="11.28515625" style="2" bestFit="1" customWidth="1"/>
    <col min="4891" max="5117" width="9.140625" style="2"/>
    <col min="5118" max="5118" width="66.140625" style="2" customWidth="1"/>
    <col min="5119" max="5121" width="9.140625" style="2"/>
    <col min="5122" max="5122" width="9.7109375" style="2" customWidth="1"/>
    <col min="5123" max="5146" width="11.28515625" style="2" bestFit="1" customWidth="1"/>
    <col min="5147" max="5373" width="9.140625" style="2"/>
    <col min="5374" max="5374" width="66.140625" style="2" customWidth="1"/>
    <col min="5375" max="5377" width="9.140625" style="2"/>
    <col min="5378" max="5378" width="9.7109375" style="2" customWidth="1"/>
    <col min="5379" max="5402" width="11.28515625" style="2" bestFit="1" customWidth="1"/>
    <col min="5403" max="5629" width="9.140625" style="2"/>
    <col min="5630" max="5630" width="66.140625" style="2" customWidth="1"/>
    <col min="5631" max="5633" width="9.140625" style="2"/>
    <col min="5634" max="5634" width="9.7109375" style="2" customWidth="1"/>
    <col min="5635" max="5658" width="11.28515625" style="2" bestFit="1" customWidth="1"/>
    <col min="5659" max="5885" width="9.140625" style="2"/>
    <col min="5886" max="5886" width="66.140625" style="2" customWidth="1"/>
    <col min="5887" max="5889" width="9.140625" style="2"/>
    <col min="5890" max="5890" width="9.7109375" style="2" customWidth="1"/>
    <col min="5891" max="5914" width="11.28515625" style="2" bestFit="1" customWidth="1"/>
    <col min="5915" max="6141" width="9.140625" style="2"/>
    <col min="6142" max="6142" width="66.140625" style="2" customWidth="1"/>
    <col min="6143" max="6145" width="9.140625" style="2"/>
    <col min="6146" max="6146" width="9.7109375" style="2" customWidth="1"/>
    <col min="6147" max="6170" width="11.28515625" style="2" bestFit="1" customWidth="1"/>
    <col min="6171" max="6397" width="9.140625" style="2"/>
    <col min="6398" max="6398" width="66.140625" style="2" customWidth="1"/>
    <col min="6399" max="6401" width="9.140625" style="2"/>
    <col min="6402" max="6402" width="9.7109375" style="2" customWidth="1"/>
    <col min="6403" max="6426" width="11.28515625" style="2" bestFit="1" customWidth="1"/>
    <col min="6427" max="6653" width="9.140625" style="2"/>
    <col min="6654" max="6654" width="66.140625" style="2" customWidth="1"/>
    <col min="6655" max="6657" width="9.140625" style="2"/>
    <col min="6658" max="6658" width="9.7109375" style="2" customWidth="1"/>
    <col min="6659" max="6682" width="11.28515625" style="2" bestFit="1" customWidth="1"/>
    <col min="6683" max="6909" width="9.140625" style="2"/>
    <col min="6910" max="6910" width="66.140625" style="2" customWidth="1"/>
    <col min="6911" max="6913" width="9.140625" style="2"/>
    <col min="6914" max="6914" width="9.7109375" style="2" customWidth="1"/>
    <col min="6915" max="6938" width="11.28515625" style="2" bestFit="1" customWidth="1"/>
    <col min="6939" max="7165" width="9.140625" style="2"/>
    <col min="7166" max="7166" width="66.140625" style="2" customWidth="1"/>
    <col min="7167" max="7169" width="9.140625" style="2"/>
    <col min="7170" max="7170" width="9.7109375" style="2" customWidth="1"/>
    <col min="7171" max="7194" width="11.28515625" style="2" bestFit="1" customWidth="1"/>
    <col min="7195" max="7421" width="9.140625" style="2"/>
    <col min="7422" max="7422" width="66.140625" style="2" customWidth="1"/>
    <col min="7423" max="7425" width="9.140625" style="2"/>
    <col min="7426" max="7426" width="9.7109375" style="2" customWidth="1"/>
    <col min="7427" max="7450" width="11.28515625" style="2" bestFit="1" customWidth="1"/>
    <col min="7451" max="7677" width="9.140625" style="2"/>
    <col min="7678" max="7678" width="66.140625" style="2" customWidth="1"/>
    <col min="7679" max="7681" width="9.140625" style="2"/>
    <col min="7682" max="7682" width="9.7109375" style="2" customWidth="1"/>
    <col min="7683" max="7706" width="11.28515625" style="2" bestFit="1" customWidth="1"/>
    <col min="7707" max="7933" width="9.140625" style="2"/>
    <col min="7934" max="7934" width="66.140625" style="2" customWidth="1"/>
    <col min="7935" max="7937" width="9.140625" style="2"/>
    <col min="7938" max="7938" width="9.7109375" style="2" customWidth="1"/>
    <col min="7939" max="7962" width="11.28515625" style="2" bestFit="1" customWidth="1"/>
    <col min="7963" max="8189" width="9.140625" style="2"/>
    <col min="8190" max="8190" width="66.140625" style="2" customWidth="1"/>
    <col min="8191" max="8193" width="9.140625" style="2"/>
    <col min="8194" max="8194" width="9.7109375" style="2" customWidth="1"/>
    <col min="8195" max="8218" width="11.28515625" style="2" bestFit="1" customWidth="1"/>
    <col min="8219" max="8445" width="9.140625" style="2"/>
    <col min="8446" max="8446" width="66.140625" style="2" customWidth="1"/>
    <col min="8447" max="8449" width="9.140625" style="2"/>
    <col min="8450" max="8450" width="9.7109375" style="2" customWidth="1"/>
    <col min="8451" max="8474" width="11.28515625" style="2" bestFit="1" customWidth="1"/>
    <col min="8475" max="8701" width="9.140625" style="2"/>
    <col min="8702" max="8702" width="66.140625" style="2" customWidth="1"/>
    <col min="8703" max="8705" width="9.140625" style="2"/>
    <col min="8706" max="8706" width="9.7109375" style="2" customWidth="1"/>
    <col min="8707" max="8730" width="11.28515625" style="2" bestFit="1" customWidth="1"/>
    <col min="8731" max="8957" width="9.140625" style="2"/>
    <col min="8958" max="8958" width="66.140625" style="2" customWidth="1"/>
    <col min="8959" max="8961" width="9.140625" style="2"/>
    <col min="8962" max="8962" width="9.7109375" style="2" customWidth="1"/>
    <col min="8963" max="8986" width="11.28515625" style="2" bestFit="1" customWidth="1"/>
    <col min="8987" max="9213" width="9.140625" style="2"/>
    <col min="9214" max="9214" width="66.140625" style="2" customWidth="1"/>
    <col min="9215" max="9217" width="9.140625" style="2"/>
    <col min="9218" max="9218" width="9.7109375" style="2" customWidth="1"/>
    <col min="9219" max="9242" width="11.28515625" style="2" bestFit="1" customWidth="1"/>
    <col min="9243" max="9469" width="9.140625" style="2"/>
    <col min="9470" max="9470" width="66.140625" style="2" customWidth="1"/>
    <col min="9471" max="9473" width="9.140625" style="2"/>
    <col min="9474" max="9474" width="9.7109375" style="2" customWidth="1"/>
    <col min="9475" max="9498" width="11.28515625" style="2" bestFit="1" customWidth="1"/>
    <col min="9499" max="9725" width="9.140625" style="2"/>
    <col min="9726" max="9726" width="66.140625" style="2" customWidth="1"/>
    <col min="9727" max="9729" width="9.140625" style="2"/>
    <col min="9730" max="9730" width="9.7109375" style="2" customWidth="1"/>
    <col min="9731" max="9754" width="11.28515625" style="2" bestFit="1" customWidth="1"/>
    <col min="9755" max="9981" width="9.140625" style="2"/>
    <col min="9982" max="9982" width="66.140625" style="2" customWidth="1"/>
    <col min="9983" max="9985" width="9.140625" style="2"/>
    <col min="9986" max="9986" width="9.7109375" style="2" customWidth="1"/>
    <col min="9987" max="10010" width="11.28515625" style="2" bestFit="1" customWidth="1"/>
    <col min="10011" max="10237" width="9.140625" style="2"/>
    <col min="10238" max="10238" width="66.140625" style="2" customWidth="1"/>
    <col min="10239" max="10241" width="9.140625" style="2"/>
    <col min="10242" max="10242" width="9.7109375" style="2" customWidth="1"/>
    <col min="10243" max="10266" width="11.28515625" style="2" bestFit="1" customWidth="1"/>
    <col min="10267" max="10493" width="9.140625" style="2"/>
    <col min="10494" max="10494" width="66.140625" style="2" customWidth="1"/>
    <col min="10495" max="10497" width="9.140625" style="2"/>
    <col min="10498" max="10498" width="9.7109375" style="2" customWidth="1"/>
    <col min="10499" max="10522" width="11.28515625" style="2" bestFit="1" customWidth="1"/>
    <col min="10523" max="10749" width="9.140625" style="2"/>
    <col min="10750" max="10750" width="66.140625" style="2" customWidth="1"/>
    <col min="10751" max="10753" width="9.140625" style="2"/>
    <col min="10754" max="10754" width="9.7109375" style="2" customWidth="1"/>
    <col min="10755" max="10778" width="11.28515625" style="2" bestFit="1" customWidth="1"/>
    <col min="10779" max="11005" width="9.140625" style="2"/>
    <col min="11006" max="11006" width="66.140625" style="2" customWidth="1"/>
    <col min="11007" max="11009" width="9.140625" style="2"/>
    <col min="11010" max="11010" width="9.7109375" style="2" customWidth="1"/>
    <col min="11011" max="11034" width="11.28515625" style="2" bestFit="1" customWidth="1"/>
    <col min="11035" max="11261" width="9.140625" style="2"/>
    <col min="11262" max="11262" width="66.140625" style="2" customWidth="1"/>
    <col min="11263" max="11265" width="9.140625" style="2"/>
    <col min="11266" max="11266" width="9.7109375" style="2" customWidth="1"/>
    <col min="11267" max="11290" width="11.28515625" style="2" bestFit="1" customWidth="1"/>
    <col min="11291" max="11517" width="9.140625" style="2"/>
    <col min="11518" max="11518" width="66.140625" style="2" customWidth="1"/>
    <col min="11519" max="11521" width="9.140625" style="2"/>
    <col min="11522" max="11522" width="9.7109375" style="2" customWidth="1"/>
    <col min="11523" max="11546" width="11.28515625" style="2" bestFit="1" customWidth="1"/>
    <col min="11547" max="11773" width="9.140625" style="2"/>
    <col min="11774" max="11774" width="66.140625" style="2" customWidth="1"/>
    <col min="11775" max="11777" width="9.140625" style="2"/>
    <col min="11778" max="11778" width="9.7109375" style="2" customWidth="1"/>
    <col min="11779" max="11802" width="11.28515625" style="2" bestFit="1" customWidth="1"/>
    <col min="11803" max="12029" width="9.140625" style="2"/>
    <col min="12030" max="12030" width="66.140625" style="2" customWidth="1"/>
    <col min="12031" max="12033" width="9.140625" style="2"/>
    <col min="12034" max="12034" width="9.7109375" style="2" customWidth="1"/>
    <col min="12035" max="12058" width="11.28515625" style="2" bestFit="1" customWidth="1"/>
    <col min="12059" max="12285" width="9.140625" style="2"/>
    <col min="12286" max="12286" width="66.140625" style="2" customWidth="1"/>
    <col min="12287" max="12289" width="9.140625" style="2"/>
    <col min="12290" max="12290" width="9.7109375" style="2" customWidth="1"/>
    <col min="12291" max="12314" width="11.28515625" style="2" bestFit="1" customWidth="1"/>
    <col min="12315" max="12541" width="9.140625" style="2"/>
    <col min="12542" max="12542" width="66.140625" style="2" customWidth="1"/>
    <col min="12543" max="12545" width="9.140625" style="2"/>
    <col min="12546" max="12546" width="9.7109375" style="2" customWidth="1"/>
    <col min="12547" max="12570" width="11.28515625" style="2" bestFit="1" customWidth="1"/>
    <col min="12571" max="12797" width="9.140625" style="2"/>
    <col min="12798" max="12798" width="66.140625" style="2" customWidth="1"/>
    <col min="12799" max="12801" width="9.140625" style="2"/>
    <col min="12802" max="12802" width="9.7109375" style="2" customWidth="1"/>
    <col min="12803" max="12826" width="11.28515625" style="2" bestFit="1" customWidth="1"/>
    <col min="12827" max="13053" width="9.140625" style="2"/>
    <col min="13054" max="13054" width="66.140625" style="2" customWidth="1"/>
    <col min="13055" max="13057" width="9.140625" style="2"/>
    <col min="13058" max="13058" width="9.7109375" style="2" customWidth="1"/>
    <col min="13059" max="13082" width="11.28515625" style="2" bestFit="1" customWidth="1"/>
    <col min="13083" max="13309" width="9.140625" style="2"/>
    <col min="13310" max="13310" width="66.140625" style="2" customWidth="1"/>
    <col min="13311" max="13313" width="9.140625" style="2"/>
    <col min="13314" max="13314" width="9.7109375" style="2" customWidth="1"/>
    <col min="13315" max="13338" width="11.28515625" style="2" bestFit="1" customWidth="1"/>
    <col min="13339" max="13565" width="9.140625" style="2"/>
    <col min="13566" max="13566" width="66.140625" style="2" customWidth="1"/>
    <col min="13567" max="13569" width="9.140625" style="2"/>
    <col min="13570" max="13570" width="9.7109375" style="2" customWidth="1"/>
    <col min="13571" max="13594" width="11.28515625" style="2" bestFit="1" customWidth="1"/>
    <col min="13595" max="13821" width="9.140625" style="2"/>
    <col min="13822" max="13822" width="66.140625" style="2" customWidth="1"/>
    <col min="13823" max="13825" width="9.140625" style="2"/>
    <col min="13826" max="13826" width="9.7109375" style="2" customWidth="1"/>
    <col min="13827" max="13850" width="11.28515625" style="2" bestFit="1" customWidth="1"/>
    <col min="13851" max="14077" width="9.140625" style="2"/>
    <col min="14078" max="14078" width="66.140625" style="2" customWidth="1"/>
    <col min="14079" max="14081" width="9.140625" style="2"/>
    <col min="14082" max="14082" width="9.7109375" style="2" customWidth="1"/>
    <col min="14083" max="14106" width="11.28515625" style="2" bestFit="1" customWidth="1"/>
    <col min="14107" max="14333" width="9.140625" style="2"/>
    <col min="14334" max="14334" width="66.140625" style="2" customWidth="1"/>
    <col min="14335" max="14337" width="9.140625" style="2"/>
    <col min="14338" max="14338" width="9.7109375" style="2" customWidth="1"/>
    <col min="14339" max="14362" width="11.28515625" style="2" bestFit="1" customWidth="1"/>
    <col min="14363" max="14589" width="9.140625" style="2"/>
    <col min="14590" max="14590" width="66.140625" style="2" customWidth="1"/>
    <col min="14591" max="14593" width="9.140625" style="2"/>
    <col min="14594" max="14594" width="9.7109375" style="2" customWidth="1"/>
    <col min="14595" max="14618" width="11.28515625" style="2" bestFit="1" customWidth="1"/>
    <col min="14619" max="14845" width="9.140625" style="2"/>
    <col min="14846" max="14846" width="66.140625" style="2" customWidth="1"/>
    <col min="14847" max="14849" width="9.140625" style="2"/>
    <col min="14850" max="14850" width="9.7109375" style="2" customWidth="1"/>
    <col min="14851" max="14874" width="11.28515625" style="2" bestFit="1" customWidth="1"/>
    <col min="14875" max="15101" width="9.140625" style="2"/>
    <col min="15102" max="15102" width="66.140625" style="2" customWidth="1"/>
    <col min="15103" max="15105" width="9.140625" style="2"/>
    <col min="15106" max="15106" width="9.7109375" style="2" customWidth="1"/>
    <col min="15107" max="15130" width="11.28515625" style="2" bestFit="1" customWidth="1"/>
    <col min="15131" max="15357" width="9.140625" style="2"/>
    <col min="15358" max="15358" width="66.140625" style="2" customWidth="1"/>
    <col min="15359" max="15361" width="9.140625" style="2"/>
    <col min="15362" max="15362" width="9.7109375" style="2" customWidth="1"/>
    <col min="15363" max="15386" width="11.28515625" style="2" bestFit="1" customWidth="1"/>
    <col min="15387" max="15613" width="9.140625" style="2"/>
    <col min="15614" max="15614" width="66.140625" style="2" customWidth="1"/>
    <col min="15615" max="15617" width="9.140625" style="2"/>
    <col min="15618" max="15618" width="9.7109375" style="2" customWidth="1"/>
    <col min="15619" max="15642" width="11.28515625" style="2" bestFit="1" customWidth="1"/>
    <col min="15643" max="15869" width="9.140625" style="2"/>
    <col min="15870" max="15870" width="66.140625" style="2" customWidth="1"/>
    <col min="15871" max="15873" width="9.140625" style="2"/>
    <col min="15874" max="15874" width="9.7109375" style="2" customWidth="1"/>
    <col min="15875" max="15898" width="11.28515625" style="2" bestFit="1" customWidth="1"/>
    <col min="15899" max="16125" width="9.140625" style="2"/>
    <col min="16126" max="16126" width="66.140625" style="2" customWidth="1"/>
    <col min="16127" max="16129" width="9.140625" style="2"/>
    <col min="16130" max="16130" width="9.7109375" style="2" customWidth="1"/>
    <col min="16131" max="16154" width="11.28515625" style="2" bestFit="1" customWidth="1"/>
    <col min="16155" max="16384" width="9.140625" style="2"/>
  </cols>
  <sheetData>
    <row r="1" spans="1:30" ht="20.25" thickBot="1" x14ac:dyDescent="0.35">
      <c r="A1" s="20" t="s">
        <v>117</v>
      </c>
    </row>
    <row r="2" spans="1:30" ht="15.75" thickTop="1" x14ac:dyDescent="0.25">
      <c r="A2" s="21" t="s">
        <v>13</v>
      </c>
      <c r="B2" s="31" t="s">
        <v>97</v>
      </c>
      <c r="C2" s="1">
        <v>2007</v>
      </c>
      <c r="D2" s="1">
        <v>2008</v>
      </c>
      <c r="E2" s="1">
        <v>2009</v>
      </c>
      <c r="F2" s="1">
        <v>2010</v>
      </c>
      <c r="G2" s="1">
        <v>2011</v>
      </c>
      <c r="H2" s="1">
        <v>2012</v>
      </c>
      <c r="I2" s="1">
        <v>2013</v>
      </c>
      <c r="J2" s="1">
        <v>2014</v>
      </c>
      <c r="K2" s="1">
        <v>2015</v>
      </c>
      <c r="L2" s="1">
        <v>2016</v>
      </c>
      <c r="M2" s="1">
        <v>2017</v>
      </c>
      <c r="N2" s="1">
        <v>2018</v>
      </c>
      <c r="O2" s="1">
        <v>2019</v>
      </c>
      <c r="P2" s="1">
        <v>2020</v>
      </c>
      <c r="Q2" s="1">
        <v>2021</v>
      </c>
      <c r="R2" s="1">
        <v>2022</v>
      </c>
      <c r="S2" s="1">
        <v>2023</v>
      </c>
      <c r="T2" s="1">
        <v>2024</v>
      </c>
      <c r="U2" s="1">
        <v>2025</v>
      </c>
      <c r="V2" s="1">
        <v>2026</v>
      </c>
      <c r="W2" s="1">
        <v>2027</v>
      </c>
      <c r="X2" s="1">
        <v>2028</v>
      </c>
      <c r="Y2" s="1">
        <v>2029</v>
      </c>
      <c r="Z2" s="1">
        <v>2030</v>
      </c>
      <c r="AA2" s="1">
        <v>2031</v>
      </c>
      <c r="AB2" s="2">
        <v>2040</v>
      </c>
      <c r="AC2" s="2">
        <v>2050</v>
      </c>
      <c r="AD2" s="2">
        <v>2060</v>
      </c>
    </row>
    <row r="3" spans="1:30" ht="15" x14ac:dyDescent="0.25">
      <c r="A3" s="3" t="s">
        <v>0</v>
      </c>
      <c r="B3" s="31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0" ht="15" x14ac:dyDescent="0.25">
      <c r="A4" s="1" t="s">
        <v>38</v>
      </c>
      <c r="C4" s="24"/>
      <c r="D4" s="32">
        <f t="shared" ref="D4:U4" si="0">IF($B$3="AR 2008",D41,D43)</f>
        <v>0.13218008427589267</v>
      </c>
      <c r="E4" s="32">
        <f t="shared" si="0"/>
        <v>0.13300685602350626</v>
      </c>
      <c r="F4" s="32">
        <f t="shared" si="0"/>
        <v>9.6645919778699962E-2</v>
      </c>
      <c r="G4" s="32">
        <f t="shared" si="0"/>
        <v>9.2385306637237985E-2</v>
      </c>
      <c r="H4" s="32">
        <f t="shared" si="0"/>
        <v>8.4716409294270489E-2</v>
      </c>
      <c r="I4" s="32">
        <f t="shared" si="0"/>
        <v>8.0627993613624271E-2</v>
      </c>
      <c r="J4" s="32">
        <f t="shared" si="0"/>
        <v>8.0029549372075737E-2</v>
      </c>
      <c r="K4" s="32">
        <f t="shared" si="0"/>
        <v>7.5809393524851831E-2</v>
      </c>
      <c r="L4" s="32">
        <f t="shared" si="0"/>
        <v>6.3049697997244802E-2</v>
      </c>
      <c r="M4" s="32">
        <f t="shared" si="0"/>
        <v>6.2400318979266345E-2</v>
      </c>
      <c r="N4" s="32">
        <f t="shared" si="0"/>
        <v>6.1737661850253422E-2</v>
      </c>
      <c r="O4" s="32">
        <f t="shared" si="0"/>
        <v>6.1152350653941312E-2</v>
      </c>
      <c r="P4" s="32">
        <f t="shared" si="0"/>
        <v>5.5463024650233228E-2</v>
      </c>
      <c r="Q4" s="32">
        <f t="shared" si="0"/>
        <v>5.4442165062332348E-2</v>
      </c>
      <c r="R4" s="32">
        <f t="shared" si="0"/>
        <v>5.3352289733612723E-2</v>
      </c>
      <c r="S4" s="32">
        <f t="shared" si="0"/>
        <v>5.221282943809058E-2</v>
      </c>
      <c r="T4" s="32">
        <f t="shared" si="0"/>
        <v>5.1039697542533125E-2</v>
      </c>
      <c r="U4" s="32">
        <f t="shared" si="0"/>
        <v>4.9910071942446121E-2</v>
      </c>
      <c r="V4" s="32">
        <f>U4</f>
        <v>4.9910071942446121E-2</v>
      </c>
      <c r="W4" s="32">
        <f t="shared" ref="W4:Z4" si="1">V4</f>
        <v>4.9910071942446121E-2</v>
      </c>
      <c r="X4" s="32">
        <f t="shared" si="1"/>
        <v>4.9910071942446121E-2</v>
      </c>
      <c r="Y4" s="32">
        <f t="shared" si="1"/>
        <v>4.9910071942446121E-2</v>
      </c>
      <c r="Z4" s="32">
        <f t="shared" si="1"/>
        <v>4.9910071942446121E-2</v>
      </c>
      <c r="AA4" s="4">
        <f>AB4</f>
        <v>2.704126169693799E-2</v>
      </c>
      <c r="AB4" s="18">
        <f>SUMIF(PoolPlan_EnergyProj!$Q$1:$AB$1,B2,PoolPlan_EnergyProj!$Q$29:$AB$29)</f>
        <v>2.704126169693799E-2</v>
      </c>
      <c r="AC4" s="18">
        <f>SUMIF(PoolPlan_EnergyProj!$Q$1:$AB$1,B2,PoolPlan_EnergyProj!$Q$30:$AB$30)</f>
        <v>1.135636144109764E-2</v>
      </c>
      <c r="AD4" s="86">
        <v>0</v>
      </c>
    </row>
    <row r="5" spans="1:30" ht="15" x14ac:dyDescent="0.25">
      <c r="A5" s="1" t="s">
        <v>115</v>
      </c>
      <c r="B5" s="5" t="s">
        <v>1</v>
      </c>
      <c r="C5" s="23">
        <f>C42*(1-C7)*(1-C10)</f>
        <v>3832.65</v>
      </c>
      <c r="D5" s="7">
        <f t="shared" ref="D5:AA5" si="2">C5*(1+D4)</f>
        <v>4339.25</v>
      </c>
      <c r="E5" s="7">
        <f t="shared" si="2"/>
        <v>4916.3999999999996</v>
      </c>
      <c r="F5" s="7">
        <f t="shared" si="2"/>
        <v>5391.55</v>
      </c>
      <c r="G5" s="7">
        <f t="shared" si="2"/>
        <v>5889.6500000000005</v>
      </c>
      <c r="H5" s="7">
        <f t="shared" si="2"/>
        <v>6388.6</v>
      </c>
      <c r="I5" s="7">
        <f t="shared" si="2"/>
        <v>6903.7000000000007</v>
      </c>
      <c r="J5" s="7">
        <f t="shared" si="2"/>
        <v>7456.2</v>
      </c>
      <c r="K5" s="7">
        <f t="shared" si="2"/>
        <v>8021.45</v>
      </c>
      <c r="L5" s="7">
        <f t="shared" si="2"/>
        <v>8527.1999999999989</v>
      </c>
      <c r="M5" s="7">
        <f t="shared" si="2"/>
        <v>9059.2999999999993</v>
      </c>
      <c r="N5" s="7">
        <f t="shared" si="2"/>
        <v>9618.6</v>
      </c>
      <c r="O5" s="7">
        <f t="shared" si="2"/>
        <v>10206.800000000001</v>
      </c>
      <c r="P5" s="7">
        <f t="shared" si="2"/>
        <v>10772.900000000001</v>
      </c>
      <c r="Q5" s="7">
        <f t="shared" si="2"/>
        <v>11359.400000000001</v>
      </c>
      <c r="R5" s="7">
        <f t="shared" si="2"/>
        <v>11965.450000000003</v>
      </c>
      <c r="S5" s="7">
        <f t="shared" si="2"/>
        <v>12590.200000000004</v>
      </c>
      <c r="T5" s="7">
        <f t="shared" si="2"/>
        <v>13232.800000000005</v>
      </c>
      <c r="U5" s="7">
        <f t="shared" si="2"/>
        <v>13893.250000000005</v>
      </c>
      <c r="V5" s="7">
        <f t="shared" si="2"/>
        <v>14586.663107014396</v>
      </c>
      <c r="W5" s="7">
        <f t="shared" si="2"/>
        <v>15314.684512085709</v>
      </c>
      <c r="X5" s="7">
        <f t="shared" si="2"/>
        <v>16079.041517859772</v>
      </c>
      <c r="Y5" s="7">
        <f t="shared" si="2"/>
        <v>16881.547636781732</v>
      </c>
      <c r="Z5" s="7">
        <f t="shared" si="2"/>
        <v>17724.106893833341</v>
      </c>
      <c r="AA5" s="7">
        <f t="shared" si="2"/>
        <v>18203.38910669399</v>
      </c>
      <c r="AB5" s="7">
        <f>AA5*(1+AB4)^9</f>
        <v>23144.25891943185</v>
      </c>
      <c r="AC5" s="7">
        <f>AB5*(1+AC4)^10</f>
        <v>25911.07219932682</v>
      </c>
      <c r="AD5" s="7">
        <f>AC5*(1+AD4)^10</f>
        <v>25911.07219932682</v>
      </c>
    </row>
    <row r="6" spans="1:30" ht="15" x14ac:dyDescent="0.25">
      <c r="A6" s="3" t="s">
        <v>2</v>
      </c>
      <c r="B6" s="5"/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8">
        <f>Z5/8.76</f>
        <v>2023.2998737252674</v>
      </c>
      <c r="AA6" s="8">
        <f t="shared" ref="AA6:AD6" si="3">AA5/8.76</f>
        <v>2078.0124551020535</v>
      </c>
      <c r="AB6" s="8">
        <f t="shared" si="3"/>
        <v>2642.0386894328594</v>
      </c>
      <c r="AC6" s="8">
        <f t="shared" si="3"/>
        <v>2957.8849542610524</v>
      </c>
      <c r="AD6" s="8">
        <f t="shared" si="3"/>
        <v>2957.8849542610524</v>
      </c>
    </row>
    <row r="7" spans="1:30" ht="15" x14ac:dyDescent="0.25">
      <c r="A7" s="1" t="s">
        <v>3</v>
      </c>
      <c r="C7" s="71">
        <v>0</v>
      </c>
      <c r="D7" s="33">
        <f t="shared" ref="D7:Y7" si="4">C7</f>
        <v>0</v>
      </c>
      <c r="E7" s="33">
        <f t="shared" si="4"/>
        <v>0</v>
      </c>
      <c r="F7" s="33">
        <f t="shared" si="4"/>
        <v>0</v>
      </c>
      <c r="G7" s="33">
        <f t="shared" si="4"/>
        <v>0</v>
      </c>
      <c r="H7" s="33">
        <f t="shared" si="4"/>
        <v>0</v>
      </c>
      <c r="I7" s="33">
        <f t="shared" si="4"/>
        <v>0</v>
      </c>
      <c r="J7" s="33">
        <f t="shared" si="4"/>
        <v>0</v>
      </c>
      <c r="K7" s="33">
        <f t="shared" si="4"/>
        <v>0</v>
      </c>
      <c r="L7" s="33">
        <f t="shared" si="4"/>
        <v>0</v>
      </c>
      <c r="M7" s="33">
        <f t="shared" si="4"/>
        <v>0</v>
      </c>
      <c r="N7" s="33">
        <f t="shared" si="4"/>
        <v>0</v>
      </c>
      <c r="O7" s="33">
        <f t="shared" si="4"/>
        <v>0</v>
      </c>
      <c r="P7" s="33">
        <f t="shared" si="4"/>
        <v>0</v>
      </c>
      <c r="Q7" s="33">
        <f t="shared" si="4"/>
        <v>0</v>
      </c>
      <c r="R7" s="33">
        <f t="shared" si="4"/>
        <v>0</v>
      </c>
      <c r="S7" s="33">
        <f t="shared" si="4"/>
        <v>0</v>
      </c>
      <c r="T7" s="33">
        <f t="shared" si="4"/>
        <v>0</v>
      </c>
      <c r="U7" s="33">
        <f t="shared" si="4"/>
        <v>0</v>
      </c>
      <c r="V7" s="33">
        <f t="shared" si="4"/>
        <v>0</v>
      </c>
      <c r="W7" s="33">
        <f t="shared" si="4"/>
        <v>0</v>
      </c>
      <c r="X7" s="33">
        <f t="shared" si="4"/>
        <v>0</v>
      </c>
      <c r="Y7" s="33">
        <f t="shared" si="4"/>
        <v>0</v>
      </c>
      <c r="Z7" s="33">
        <f>Y7</f>
        <v>0</v>
      </c>
      <c r="AA7" s="33">
        <f t="shared" ref="AA7:AC7" si="5">Z7</f>
        <v>0</v>
      </c>
      <c r="AB7" s="33">
        <f t="shared" si="5"/>
        <v>0</v>
      </c>
      <c r="AC7" s="33">
        <f t="shared" si="5"/>
        <v>0</v>
      </c>
    </row>
    <row r="8" spans="1:30" ht="15" x14ac:dyDescent="0.25">
      <c r="A8" s="1" t="s">
        <v>96</v>
      </c>
      <c r="B8" s="5" t="s">
        <v>1</v>
      </c>
      <c r="C8" s="8">
        <f t="shared" ref="C8:Z8" si="6">C5/(1-C7)</f>
        <v>3832.65</v>
      </c>
      <c r="D8" s="8">
        <f t="shared" si="6"/>
        <v>4339.25</v>
      </c>
      <c r="E8" s="8">
        <f t="shared" si="6"/>
        <v>4916.3999999999996</v>
      </c>
      <c r="F8" s="8">
        <f t="shared" si="6"/>
        <v>5391.55</v>
      </c>
      <c r="G8" s="8">
        <f t="shared" si="6"/>
        <v>5889.6500000000005</v>
      </c>
      <c r="H8" s="8">
        <f t="shared" si="6"/>
        <v>6388.6</v>
      </c>
      <c r="I8" s="8">
        <f t="shared" si="6"/>
        <v>6903.7000000000007</v>
      </c>
      <c r="J8" s="8">
        <f t="shared" si="6"/>
        <v>7456.2</v>
      </c>
      <c r="K8" s="8">
        <f t="shared" si="6"/>
        <v>8021.45</v>
      </c>
      <c r="L8" s="8">
        <f t="shared" si="6"/>
        <v>8527.1999999999989</v>
      </c>
      <c r="M8" s="8">
        <f t="shared" si="6"/>
        <v>9059.2999999999993</v>
      </c>
      <c r="N8" s="8">
        <f t="shared" si="6"/>
        <v>9618.6</v>
      </c>
      <c r="O8" s="8">
        <f t="shared" si="6"/>
        <v>10206.800000000001</v>
      </c>
      <c r="P8" s="8">
        <f t="shared" si="6"/>
        <v>10772.900000000001</v>
      </c>
      <c r="Q8" s="8">
        <f t="shared" si="6"/>
        <v>11359.400000000001</v>
      </c>
      <c r="R8" s="8">
        <f t="shared" si="6"/>
        <v>11965.450000000003</v>
      </c>
      <c r="S8" s="8">
        <f t="shared" si="6"/>
        <v>12590.200000000004</v>
      </c>
      <c r="T8" s="8">
        <f t="shared" si="6"/>
        <v>13232.800000000005</v>
      </c>
      <c r="U8" s="8">
        <f t="shared" si="6"/>
        <v>13893.250000000005</v>
      </c>
      <c r="V8" s="8">
        <f t="shared" si="6"/>
        <v>14586.663107014396</v>
      </c>
      <c r="W8" s="8">
        <f t="shared" si="6"/>
        <v>15314.684512085709</v>
      </c>
      <c r="X8" s="8">
        <f t="shared" si="6"/>
        <v>16079.041517859772</v>
      </c>
      <c r="Y8" s="8">
        <f t="shared" si="6"/>
        <v>16881.547636781732</v>
      </c>
      <c r="Z8" s="8">
        <f t="shared" si="6"/>
        <v>17724.106893833341</v>
      </c>
      <c r="AA8" s="8">
        <f t="shared" ref="AA8:AC8" si="7">AA5/(1-AA7)</f>
        <v>18203.38910669399</v>
      </c>
      <c r="AB8" s="8">
        <f t="shared" si="7"/>
        <v>23144.25891943185</v>
      </c>
      <c r="AC8" s="8">
        <f t="shared" si="7"/>
        <v>25911.07219932682</v>
      </c>
    </row>
    <row r="9" spans="1:30" ht="15" x14ac:dyDescent="0.25">
      <c r="A9" s="3" t="s">
        <v>4</v>
      </c>
      <c r="B9" s="5"/>
      <c r="C9" s="11"/>
      <c r="D9" s="11"/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30" ht="15" x14ac:dyDescent="0.25">
      <c r="A10" s="1" t="s">
        <v>5</v>
      </c>
      <c r="C10" s="26">
        <v>0.15</v>
      </c>
      <c r="D10" s="32">
        <f>C10</f>
        <v>0.15</v>
      </c>
      <c r="E10" s="32">
        <f t="shared" ref="E10:Z10" si="8">D10</f>
        <v>0.15</v>
      </c>
      <c r="F10" s="32">
        <f t="shared" si="8"/>
        <v>0.15</v>
      </c>
      <c r="G10" s="32">
        <f t="shared" si="8"/>
        <v>0.15</v>
      </c>
      <c r="H10" s="32">
        <f t="shared" si="8"/>
        <v>0.15</v>
      </c>
      <c r="I10" s="32">
        <f t="shared" si="8"/>
        <v>0.15</v>
      </c>
      <c r="J10" s="32">
        <f t="shared" si="8"/>
        <v>0.15</v>
      </c>
      <c r="K10" s="32">
        <f t="shared" si="8"/>
        <v>0.15</v>
      </c>
      <c r="L10" s="32">
        <f t="shared" si="8"/>
        <v>0.15</v>
      </c>
      <c r="M10" s="32">
        <f t="shared" si="8"/>
        <v>0.15</v>
      </c>
      <c r="N10" s="32">
        <f t="shared" si="8"/>
        <v>0.15</v>
      </c>
      <c r="O10" s="32">
        <f t="shared" si="8"/>
        <v>0.15</v>
      </c>
      <c r="P10" s="32">
        <f t="shared" si="8"/>
        <v>0.15</v>
      </c>
      <c r="Q10" s="32">
        <f t="shared" si="8"/>
        <v>0.15</v>
      </c>
      <c r="R10" s="32">
        <f t="shared" si="8"/>
        <v>0.15</v>
      </c>
      <c r="S10" s="32">
        <f t="shared" si="8"/>
        <v>0.15</v>
      </c>
      <c r="T10" s="32">
        <f t="shared" si="8"/>
        <v>0.15</v>
      </c>
      <c r="U10" s="32">
        <f t="shared" si="8"/>
        <v>0.15</v>
      </c>
      <c r="V10" s="32">
        <f t="shared" si="8"/>
        <v>0.15</v>
      </c>
      <c r="W10" s="32">
        <f t="shared" si="8"/>
        <v>0.15</v>
      </c>
      <c r="X10" s="32">
        <f t="shared" si="8"/>
        <v>0.15</v>
      </c>
      <c r="Y10" s="32">
        <f t="shared" si="8"/>
        <v>0.15</v>
      </c>
      <c r="Z10" s="32">
        <f t="shared" si="8"/>
        <v>0.15</v>
      </c>
      <c r="AA10" s="32">
        <f t="shared" ref="AA10" si="9">Z10</f>
        <v>0.15</v>
      </c>
      <c r="AB10" s="32">
        <f t="shared" ref="AB10" si="10">AA10</f>
        <v>0.15</v>
      </c>
      <c r="AC10" s="32">
        <f t="shared" ref="AC10" si="11">AB10</f>
        <v>0.15</v>
      </c>
    </row>
    <row r="11" spans="1:30" ht="15" x14ac:dyDescent="0.25">
      <c r="A11" s="1" t="s">
        <v>95</v>
      </c>
      <c r="B11" s="5" t="s">
        <v>1</v>
      </c>
      <c r="C11" s="8">
        <f t="shared" ref="C11:Z11" si="12">C8/(1-C10)</f>
        <v>4509</v>
      </c>
      <c r="D11" s="8">
        <f t="shared" si="12"/>
        <v>5105</v>
      </c>
      <c r="E11" s="8">
        <f t="shared" si="12"/>
        <v>5784</v>
      </c>
      <c r="F11" s="8">
        <f t="shared" si="12"/>
        <v>6343</v>
      </c>
      <c r="G11" s="8">
        <f t="shared" si="12"/>
        <v>6929.0000000000009</v>
      </c>
      <c r="H11" s="8">
        <f t="shared" si="12"/>
        <v>7516.0000000000009</v>
      </c>
      <c r="I11" s="8">
        <f t="shared" si="12"/>
        <v>8122.0000000000009</v>
      </c>
      <c r="J11" s="8">
        <f t="shared" si="12"/>
        <v>8772</v>
      </c>
      <c r="K11" s="8">
        <f t="shared" si="12"/>
        <v>9437</v>
      </c>
      <c r="L11" s="8">
        <f t="shared" si="12"/>
        <v>10031.999999999998</v>
      </c>
      <c r="M11" s="8">
        <f t="shared" si="12"/>
        <v>10658</v>
      </c>
      <c r="N11" s="8">
        <f t="shared" si="12"/>
        <v>11316</v>
      </c>
      <c r="O11" s="8">
        <f t="shared" si="12"/>
        <v>12008.000000000002</v>
      </c>
      <c r="P11" s="8">
        <f t="shared" si="12"/>
        <v>12674.000000000002</v>
      </c>
      <c r="Q11" s="8">
        <f t="shared" si="12"/>
        <v>13364.000000000002</v>
      </c>
      <c r="R11" s="8">
        <f t="shared" si="12"/>
        <v>14077.000000000004</v>
      </c>
      <c r="S11" s="8">
        <f t="shared" si="12"/>
        <v>14812.000000000005</v>
      </c>
      <c r="T11" s="8">
        <f t="shared" si="12"/>
        <v>15568.000000000005</v>
      </c>
      <c r="U11" s="8">
        <f t="shared" si="12"/>
        <v>16345.000000000007</v>
      </c>
      <c r="V11" s="8">
        <f t="shared" si="12"/>
        <v>17160.780125899291</v>
      </c>
      <c r="W11" s="8">
        <f t="shared" si="12"/>
        <v>18017.275896571424</v>
      </c>
      <c r="X11" s="8">
        <f t="shared" si="12"/>
        <v>18916.519432776204</v>
      </c>
      <c r="Y11" s="8">
        <f t="shared" si="12"/>
        <v>19860.644278566742</v>
      </c>
      <c r="Z11" s="8">
        <f t="shared" si="12"/>
        <v>20851.890463333344</v>
      </c>
      <c r="AA11" s="8">
        <f t="shared" ref="AA11:AC11" si="13">AA8/(1-AA10)</f>
        <v>21415.751890228225</v>
      </c>
      <c r="AB11" s="8">
        <f t="shared" si="13"/>
        <v>27228.53990521394</v>
      </c>
      <c r="AC11" s="8">
        <f t="shared" si="13"/>
        <v>30483.614352149201</v>
      </c>
    </row>
    <row r="12" spans="1:30" ht="15" x14ac:dyDescent="0.25">
      <c r="A12" s="3" t="s">
        <v>6</v>
      </c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8"/>
      <c r="AB12" s="8"/>
      <c r="AC12" s="8"/>
    </row>
    <row r="13" spans="1:30" ht="15" x14ac:dyDescent="0.25">
      <c r="A13" s="5" t="s">
        <v>108</v>
      </c>
      <c r="B13" s="5"/>
      <c r="C13" s="6">
        <f>VLOOKUP($A$2,AR2008_Stats!$B$4:$O$15,AR2008_Stats!L$1,FALSE)</f>
        <v>0</v>
      </c>
      <c r="D13" s="64">
        <f>C13</f>
        <v>0</v>
      </c>
      <c r="E13" s="64">
        <f t="shared" ref="E13:T15" si="14">D13</f>
        <v>0</v>
      </c>
      <c r="F13" s="64">
        <f t="shared" si="14"/>
        <v>0</v>
      </c>
      <c r="G13" s="64">
        <f t="shared" si="14"/>
        <v>0</v>
      </c>
      <c r="H13" s="64">
        <f t="shared" si="14"/>
        <v>0</v>
      </c>
      <c r="I13" s="64">
        <f t="shared" si="14"/>
        <v>0</v>
      </c>
      <c r="J13" s="64">
        <f t="shared" si="14"/>
        <v>0</v>
      </c>
      <c r="K13" s="64">
        <f t="shared" si="14"/>
        <v>0</v>
      </c>
      <c r="L13" s="64">
        <f t="shared" si="14"/>
        <v>0</v>
      </c>
      <c r="M13" s="64">
        <f t="shared" si="14"/>
        <v>0</v>
      </c>
      <c r="N13" s="64">
        <f t="shared" si="14"/>
        <v>0</v>
      </c>
      <c r="O13" s="64">
        <f t="shared" si="14"/>
        <v>0</v>
      </c>
      <c r="P13" s="64">
        <f t="shared" si="14"/>
        <v>0</v>
      </c>
      <c r="Q13" s="64">
        <f t="shared" si="14"/>
        <v>0</v>
      </c>
      <c r="R13" s="64">
        <f t="shared" si="14"/>
        <v>0</v>
      </c>
      <c r="S13" s="64">
        <f t="shared" si="14"/>
        <v>0</v>
      </c>
      <c r="T13" s="64">
        <f t="shared" si="14"/>
        <v>0</v>
      </c>
      <c r="U13" s="64">
        <f t="shared" ref="U13:AA15" si="15">T13</f>
        <v>0</v>
      </c>
      <c r="V13" s="64">
        <f t="shared" si="15"/>
        <v>0</v>
      </c>
      <c r="W13" s="64">
        <f t="shared" si="15"/>
        <v>0</v>
      </c>
      <c r="X13" s="64">
        <f t="shared" si="15"/>
        <v>0</v>
      </c>
      <c r="Y13" s="64">
        <f t="shared" si="15"/>
        <v>0</v>
      </c>
      <c r="Z13" s="64">
        <f t="shared" si="15"/>
        <v>0</v>
      </c>
      <c r="AA13" s="64">
        <f t="shared" si="15"/>
        <v>0</v>
      </c>
    </row>
    <row r="14" spans="1:30" ht="15" x14ac:dyDescent="0.25">
      <c r="A14" s="5" t="s">
        <v>109</v>
      </c>
      <c r="B14" s="5"/>
      <c r="C14" s="6">
        <v>0</v>
      </c>
      <c r="D14" s="64">
        <f>C14</f>
        <v>0</v>
      </c>
      <c r="E14" s="64">
        <f t="shared" si="14"/>
        <v>0</v>
      </c>
      <c r="F14" s="64">
        <f t="shared" si="14"/>
        <v>0</v>
      </c>
      <c r="G14" s="64">
        <f t="shared" si="14"/>
        <v>0</v>
      </c>
      <c r="H14" s="64">
        <f t="shared" si="14"/>
        <v>0</v>
      </c>
      <c r="I14" s="64">
        <f t="shared" si="14"/>
        <v>0</v>
      </c>
      <c r="J14" s="64">
        <f t="shared" si="14"/>
        <v>0</v>
      </c>
      <c r="K14" s="64">
        <f t="shared" si="14"/>
        <v>0</v>
      </c>
      <c r="L14" s="64">
        <f t="shared" si="14"/>
        <v>0</v>
      </c>
      <c r="M14" s="64">
        <f t="shared" si="14"/>
        <v>0</v>
      </c>
      <c r="N14" s="64">
        <f t="shared" si="14"/>
        <v>0</v>
      </c>
      <c r="O14" s="64">
        <f t="shared" si="14"/>
        <v>0</v>
      </c>
      <c r="P14" s="64">
        <f t="shared" si="14"/>
        <v>0</v>
      </c>
      <c r="Q14" s="64">
        <f t="shared" si="14"/>
        <v>0</v>
      </c>
      <c r="R14" s="64">
        <f t="shared" si="14"/>
        <v>0</v>
      </c>
      <c r="S14" s="64">
        <f t="shared" si="14"/>
        <v>0</v>
      </c>
      <c r="T14" s="64">
        <f t="shared" si="14"/>
        <v>0</v>
      </c>
      <c r="U14" s="64">
        <f t="shared" si="15"/>
        <v>0</v>
      </c>
      <c r="V14" s="64">
        <f t="shared" si="15"/>
        <v>0</v>
      </c>
      <c r="W14" s="64">
        <f t="shared" si="15"/>
        <v>0</v>
      </c>
      <c r="X14" s="64">
        <f t="shared" si="15"/>
        <v>0</v>
      </c>
      <c r="Y14" s="64">
        <f t="shared" si="15"/>
        <v>0</v>
      </c>
      <c r="Z14" s="64">
        <f t="shared" si="15"/>
        <v>0</v>
      </c>
      <c r="AA14" s="64">
        <f t="shared" si="15"/>
        <v>0</v>
      </c>
    </row>
    <row r="15" spans="1:30" ht="15" x14ac:dyDescent="0.25">
      <c r="A15" s="5" t="s">
        <v>110</v>
      </c>
      <c r="B15" s="5"/>
      <c r="C15" s="6">
        <v>0</v>
      </c>
      <c r="D15" s="64">
        <f>C15</f>
        <v>0</v>
      </c>
      <c r="E15" s="64">
        <f t="shared" si="14"/>
        <v>0</v>
      </c>
      <c r="F15" s="64">
        <f t="shared" si="14"/>
        <v>0</v>
      </c>
      <c r="G15" s="64">
        <f t="shared" si="14"/>
        <v>0</v>
      </c>
      <c r="H15" s="64">
        <f t="shared" si="14"/>
        <v>0</v>
      </c>
      <c r="I15" s="64">
        <f t="shared" si="14"/>
        <v>0</v>
      </c>
      <c r="J15" s="64">
        <f t="shared" si="14"/>
        <v>0</v>
      </c>
      <c r="K15" s="64">
        <f t="shared" si="14"/>
        <v>0</v>
      </c>
      <c r="L15" s="64">
        <f t="shared" si="14"/>
        <v>0</v>
      </c>
      <c r="M15" s="64">
        <f t="shared" si="14"/>
        <v>0</v>
      </c>
      <c r="N15" s="64">
        <f t="shared" si="14"/>
        <v>0</v>
      </c>
      <c r="O15" s="64">
        <f t="shared" si="14"/>
        <v>0</v>
      </c>
      <c r="P15" s="64">
        <f t="shared" si="14"/>
        <v>0</v>
      </c>
      <c r="Q15" s="64">
        <f t="shared" si="14"/>
        <v>0</v>
      </c>
      <c r="R15" s="64">
        <f t="shared" si="14"/>
        <v>0</v>
      </c>
      <c r="S15" s="64">
        <f t="shared" si="14"/>
        <v>0</v>
      </c>
      <c r="T15" s="64">
        <f t="shared" si="14"/>
        <v>0</v>
      </c>
      <c r="U15" s="64">
        <f t="shared" si="15"/>
        <v>0</v>
      </c>
      <c r="V15" s="64">
        <f t="shared" si="15"/>
        <v>0</v>
      </c>
      <c r="W15" s="64">
        <f t="shared" si="15"/>
        <v>0</v>
      </c>
      <c r="X15" s="64">
        <f t="shared" si="15"/>
        <v>0</v>
      </c>
      <c r="Y15" s="64">
        <f t="shared" si="15"/>
        <v>0</v>
      </c>
      <c r="Z15" s="64">
        <f t="shared" si="15"/>
        <v>0</v>
      </c>
      <c r="AA15" s="64">
        <f t="shared" si="15"/>
        <v>0</v>
      </c>
    </row>
    <row r="16" spans="1:30" ht="15" x14ac:dyDescent="0.25">
      <c r="A16" s="5" t="s">
        <v>112</v>
      </c>
      <c r="B16" s="5"/>
      <c r="C16" s="6">
        <v>0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</row>
    <row r="17" spans="1:27" ht="15" x14ac:dyDescent="0.25">
      <c r="A17" s="5" t="s">
        <v>113</v>
      </c>
      <c r="B17" s="5"/>
      <c r="C17" s="6">
        <v>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</row>
    <row r="18" spans="1:27" ht="15" x14ac:dyDescent="0.25">
      <c r="A18" s="1" t="s">
        <v>111</v>
      </c>
      <c r="B18" s="5"/>
      <c r="C18" s="65">
        <f>SUM(C13:C17)</f>
        <v>0</v>
      </c>
      <c r="D18" s="65">
        <f t="shared" ref="D18:AA18" si="16">SUM(D13:D17)</f>
        <v>0</v>
      </c>
      <c r="E18" s="65">
        <f t="shared" si="16"/>
        <v>0</v>
      </c>
      <c r="F18" s="65">
        <f t="shared" si="16"/>
        <v>0</v>
      </c>
      <c r="G18" s="65">
        <f t="shared" si="16"/>
        <v>0</v>
      </c>
      <c r="H18" s="65">
        <f t="shared" si="16"/>
        <v>0</v>
      </c>
      <c r="I18" s="65">
        <f t="shared" si="16"/>
        <v>0</v>
      </c>
      <c r="J18" s="65">
        <f t="shared" si="16"/>
        <v>0</v>
      </c>
      <c r="K18" s="65">
        <f t="shared" si="16"/>
        <v>0</v>
      </c>
      <c r="L18" s="65">
        <f t="shared" si="16"/>
        <v>0</v>
      </c>
      <c r="M18" s="65">
        <f t="shared" si="16"/>
        <v>0</v>
      </c>
      <c r="N18" s="65">
        <f t="shared" si="16"/>
        <v>0</v>
      </c>
      <c r="O18" s="65">
        <f t="shared" si="16"/>
        <v>0</v>
      </c>
      <c r="P18" s="65">
        <f t="shared" si="16"/>
        <v>0</v>
      </c>
      <c r="Q18" s="65">
        <f t="shared" si="16"/>
        <v>0</v>
      </c>
      <c r="R18" s="65">
        <f t="shared" si="16"/>
        <v>0</v>
      </c>
      <c r="S18" s="65">
        <f t="shared" si="16"/>
        <v>0</v>
      </c>
      <c r="T18" s="65">
        <f t="shared" si="16"/>
        <v>0</v>
      </c>
      <c r="U18" s="65">
        <f t="shared" si="16"/>
        <v>0</v>
      </c>
      <c r="V18" s="65">
        <f t="shared" si="16"/>
        <v>0</v>
      </c>
      <c r="W18" s="65">
        <f t="shared" si="16"/>
        <v>0</v>
      </c>
      <c r="X18" s="65">
        <f t="shared" si="16"/>
        <v>0</v>
      </c>
      <c r="Y18" s="65">
        <f t="shared" si="16"/>
        <v>0</v>
      </c>
      <c r="Z18" s="65">
        <f t="shared" si="16"/>
        <v>0</v>
      </c>
      <c r="AA18" s="65">
        <f t="shared" si="16"/>
        <v>0</v>
      </c>
    </row>
    <row r="19" spans="1:27" ht="15" x14ac:dyDescent="0.25">
      <c r="A19" s="66" t="s">
        <v>116</v>
      </c>
      <c r="B19" s="66" t="s">
        <v>1</v>
      </c>
      <c r="C19" s="67">
        <f t="shared" ref="C19:AA19" si="17">C18+C11</f>
        <v>4509</v>
      </c>
      <c r="D19" s="67">
        <f t="shared" si="17"/>
        <v>5105</v>
      </c>
      <c r="E19" s="67">
        <f t="shared" si="17"/>
        <v>5784</v>
      </c>
      <c r="F19" s="67">
        <f t="shared" si="17"/>
        <v>6343</v>
      </c>
      <c r="G19" s="67">
        <f t="shared" si="17"/>
        <v>6929.0000000000009</v>
      </c>
      <c r="H19" s="67">
        <f t="shared" si="17"/>
        <v>7516.0000000000009</v>
      </c>
      <c r="I19" s="67">
        <f t="shared" si="17"/>
        <v>8122.0000000000009</v>
      </c>
      <c r="J19" s="67">
        <f t="shared" si="17"/>
        <v>8772</v>
      </c>
      <c r="K19" s="67">
        <f t="shared" si="17"/>
        <v>9437</v>
      </c>
      <c r="L19" s="67">
        <f t="shared" si="17"/>
        <v>10031.999999999998</v>
      </c>
      <c r="M19" s="67">
        <f t="shared" si="17"/>
        <v>10658</v>
      </c>
      <c r="N19" s="67">
        <f t="shared" si="17"/>
        <v>11316</v>
      </c>
      <c r="O19" s="67">
        <f t="shared" si="17"/>
        <v>12008.000000000002</v>
      </c>
      <c r="P19" s="67">
        <f t="shared" si="17"/>
        <v>12674.000000000002</v>
      </c>
      <c r="Q19" s="67">
        <f t="shared" si="17"/>
        <v>13364.000000000002</v>
      </c>
      <c r="R19" s="67">
        <f t="shared" si="17"/>
        <v>14077.000000000004</v>
      </c>
      <c r="S19" s="67">
        <f t="shared" si="17"/>
        <v>14812.000000000005</v>
      </c>
      <c r="T19" s="67">
        <f t="shared" si="17"/>
        <v>15568.000000000005</v>
      </c>
      <c r="U19" s="67">
        <f t="shared" si="17"/>
        <v>16345.000000000007</v>
      </c>
      <c r="V19" s="67">
        <f t="shared" si="17"/>
        <v>17160.780125899291</v>
      </c>
      <c r="W19" s="67">
        <f t="shared" si="17"/>
        <v>18017.275896571424</v>
      </c>
      <c r="X19" s="67">
        <f t="shared" si="17"/>
        <v>18916.519432776204</v>
      </c>
      <c r="Y19" s="67">
        <f t="shared" si="17"/>
        <v>19860.644278566742</v>
      </c>
      <c r="Z19" s="67">
        <f t="shared" si="17"/>
        <v>20851.890463333344</v>
      </c>
      <c r="AA19" s="67">
        <f t="shared" si="17"/>
        <v>21415.751890228225</v>
      </c>
    </row>
    <row r="20" spans="1:27" ht="15" x14ac:dyDescent="0.25">
      <c r="A20" s="3" t="s">
        <v>120</v>
      </c>
      <c r="B20" s="5" t="s">
        <v>1</v>
      </c>
      <c r="C20" s="6">
        <f>VLOOKUP($A$2,AR2008_Stats!$B$4:$O$15,AR2008_Stats!K$1,FALSE)</f>
        <v>21</v>
      </c>
      <c r="D20" s="1"/>
      <c r="E20" s="1"/>
      <c r="F20" s="67">
        <v>6343.0000000000009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 x14ac:dyDescent="0.25">
      <c r="A21" s="3" t="s">
        <v>121</v>
      </c>
      <c r="B21" s="5" t="s">
        <v>1</v>
      </c>
      <c r="C21" s="6">
        <f>VLOOKUP($A$2,AR2008_Stats!$B$4:$O$15,AR2008_Stats!J$1,FALSE)</f>
        <v>3293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7" ht="15" x14ac:dyDescent="0.25">
      <c r="A22" s="66" t="s">
        <v>119</v>
      </c>
      <c r="B22" s="66" t="s">
        <v>1</v>
      </c>
      <c r="C22" s="67">
        <f>C21+C20</f>
        <v>3314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7" x14ac:dyDescent="0.2">
      <c r="A23" s="3" t="s">
        <v>88</v>
      </c>
    </row>
    <row r="24" spans="1:27" ht="15" x14ac:dyDescent="0.25">
      <c r="A24" s="1" t="s">
        <v>76</v>
      </c>
      <c r="B24" s="5" t="s">
        <v>1</v>
      </c>
      <c r="C24" s="74">
        <f>VLOOKUP($A$2,'[1]Total Existing Capacity'!$A$3:$J$14,9,FALSE)</f>
        <v>4572.4060566000007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7" x14ac:dyDescent="0.2">
      <c r="A25" s="1" t="s">
        <v>89</v>
      </c>
      <c r="B25" s="5"/>
      <c r="C25" s="30">
        <f>(C20+C24)/C11-1</f>
        <v>1.8719462541583631E-2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7" x14ac:dyDescent="0.2">
      <c r="A26" s="1" t="s">
        <v>90</v>
      </c>
      <c r="B26" s="5"/>
      <c r="C26" s="30">
        <f>(C20+C24-C13)/C11-1</f>
        <v>1.8719462541583631E-2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7" x14ac:dyDescent="0.2">
      <c r="A27" s="1" t="s">
        <v>91</v>
      </c>
      <c r="B27" s="5"/>
      <c r="C27" s="30">
        <f>C24/C11-1</f>
        <v>1.4062110578842546E-2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7" x14ac:dyDescent="0.2">
      <c r="A28" s="1" t="s">
        <v>92</v>
      </c>
      <c r="B28" s="5"/>
      <c r="C28" s="30">
        <f>(C24-C13)/C11-1</f>
        <v>1.4062110578842546E-2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7" ht="15" x14ac:dyDescent="0.25">
      <c r="A29" s="1" t="s">
        <v>77</v>
      </c>
      <c r="B29" s="5" t="s">
        <v>1</v>
      </c>
      <c r="C29" s="74">
        <f>VLOOKUP($A$2,'[1]Total Existing Capacity'!$A$3:$J$14,10,FALSE)</f>
        <v>3690.4060566000003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7" x14ac:dyDescent="0.2">
      <c r="A30" s="1" t="s">
        <v>93</v>
      </c>
      <c r="B30" s="5"/>
      <c r="C30" s="30">
        <f>C29/C11-1</f>
        <v>-0.18154667185628737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7" x14ac:dyDescent="0.2">
      <c r="A31" s="1" t="s">
        <v>94</v>
      </c>
      <c r="B31" s="5"/>
      <c r="C31" s="30">
        <f>(C29-C13)/C11-1</f>
        <v>-0.18154667185628737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7" ht="15" x14ac:dyDescent="0.25">
      <c r="A32" s="1" t="s">
        <v>74</v>
      </c>
      <c r="B32" s="2" t="s">
        <v>10</v>
      </c>
      <c r="C32" s="27">
        <f>IF(B3="AR 2008",VLOOKUP($A$2,AR2008_Stats!$B$4:$O$15,AR2008_Stats!F$1,FALSE),C47)</f>
        <v>792</v>
      </c>
      <c r="D32" s="28">
        <f>D19/(D33*8.76)</f>
        <v>897</v>
      </c>
      <c r="E32" s="28">
        <f t="shared" ref="E32:Z32" si="18">E19/(E33*8.76)</f>
        <v>1015.9999999999999</v>
      </c>
      <c r="F32" s="28">
        <f t="shared" si="18"/>
        <v>1114</v>
      </c>
      <c r="G32" s="28">
        <f t="shared" si="18"/>
        <v>1217.0000000000002</v>
      </c>
      <c r="H32" s="28">
        <f t="shared" si="18"/>
        <v>1320</v>
      </c>
      <c r="I32" s="28">
        <f t="shared" si="18"/>
        <v>1426.0000000000002</v>
      </c>
      <c r="J32" s="28">
        <f t="shared" si="18"/>
        <v>1540</v>
      </c>
      <c r="K32" s="28">
        <f t="shared" si="18"/>
        <v>1657.0000000000002</v>
      </c>
      <c r="L32" s="28">
        <f t="shared" si="18"/>
        <v>1761.9999999999998</v>
      </c>
      <c r="M32" s="28">
        <f t="shared" si="18"/>
        <v>1872</v>
      </c>
      <c r="N32" s="28">
        <f t="shared" si="18"/>
        <v>1986.9999999999998</v>
      </c>
      <c r="O32" s="28">
        <f t="shared" si="18"/>
        <v>2109.0000000000005</v>
      </c>
      <c r="P32" s="28">
        <f t="shared" si="18"/>
        <v>2226.0000000000005</v>
      </c>
      <c r="Q32" s="28">
        <f t="shared" si="18"/>
        <v>2347.0000000000005</v>
      </c>
      <c r="R32" s="28">
        <f t="shared" si="18"/>
        <v>2472.0000000000009</v>
      </c>
      <c r="S32" s="28">
        <f t="shared" si="18"/>
        <v>2601.0000000000009</v>
      </c>
      <c r="T32" s="28">
        <f t="shared" si="18"/>
        <v>2734.0000000000009</v>
      </c>
      <c r="U32" s="28">
        <f t="shared" si="18"/>
        <v>2870.4541366906487</v>
      </c>
      <c r="V32" s="28">
        <f t="shared" si="18"/>
        <v>3013.7187091603714</v>
      </c>
      <c r="W32" s="28">
        <f t="shared" si="18"/>
        <v>3164.1336267488609</v>
      </c>
      <c r="X32" s="28">
        <f t="shared" si="18"/>
        <v>3322.0557636954095</v>
      </c>
      <c r="Y32" s="28">
        <f t="shared" si="18"/>
        <v>3487.8598058582652</v>
      </c>
      <c r="Z32" s="28">
        <f t="shared" si="18"/>
        <v>3661.9391396938181</v>
      </c>
    </row>
    <row r="33" spans="1:27" ht="15" x14ac:dyDescent="0.25">
      <c r="A33" s="1" t="s">
        <v>7</v>
      </c>
      <c r="C33" s="14">
        <f>C19/(C32*8.76)</f>
        <v>0.64990660024906599</v>
      </c>
      <c r="D33" s="14">
        <f t="shared" ref="D33:T33" si="19">IF(B3="AR 2008",D49,D50)</f>
        <v>0.64967955081117679</v>
      </c>
      <c r="E33" s="14">
        <f t="shared" si="19"/>
        <v>0.64987595728616121</v>
      </c>
      <c r="F33" s="14">
        <f t="shared" si="19"/>
        <v>0.64998811309772675</v>
      </c>
      <c r="G33" s="14">
        <f t="shared" si="19"/>
        <v>0.64994390728004714</v>
      </c>
      <c r="H33" s="14">
        <f t="shared" si="19"/>
        <v>0.64999308149993085</v>
      </c>
      <c r="I33" s="14">
        <f t="shared" si="19"/>
        <v>0.65018860432797299</v>
      </c>
      <c r="J33" s="14">
        <f t="shared" si="19"/>
        <v>0.65024017078811602</v>
      </c>
      <c r="K33" s="14">
        <f t="shared" si="19"/>
        <v>0.65014067895161798</v>
      </c>
      <c r="L33" s="14">
        <f t="shared" si="19"/>
        <v>0.64994635610218776</v>
      </c>
      <c r="M33" s="14">
        <f t="shared" si="19"/>
        <v>0.64992877492877488</v>
      </c>
      <c r="N33" s="14">
        <f t="shared" si="19"/>
        <v>0.65011616603815214</v>
      </c>
      <c r="O33" s="14">
        <f t="shared" si="19"/>
        <v>0.64996503352667734</v>
      </c>
      <c r="P33" s="14">
        <f t="shared" si="19"/>
        <v>0.64995671741600924</v>
      </c>
      <c r="Q33" s="14">
        <f t="shared" si="19"/>
        <v>0.65000885226063387</v>
      </c>
      <c r="R33" s="14">
        <f t="shared" si="19"/>
        <v>0.65006612877007874</v>
      </c>
      <c r="S33" s="14">
        <f t="shared" si="19"/>
        <v>0.65008365240625754</v>
      </c>
      <c r="T33" s="14">
        <f t="shared" si="19"/>
        <v>0.65002521937516078</v>
      </c>
      <c r="U33" s="14">
        <f>T33</f>
        <v>0.65002521937516078</v>
      </c>
      <c r="V33" s="14">
        <f t="shared" ref="V33:Z33" si="20">U33</f>
        <v>0.65002521937516078</v>
      </c>
      <c r="W33" s="14">
        <f t="shared" si="20"/>
        <v>0.65002521937516078</v>
      </c>
      <c r="X33" s="14">
        <f t="shared" si="20"/>
        <v>0.65002521937516078</v>
      </c>
      <c r="Y33" s="14">
        <f t="shared" si="20"/>
        <v>0.65002521937516078</v>
      </c>
      <c r="Z33" s="14">
        <f t="shared" si="20"/>
        <v>0.65002521937516078</v>
      </c>
    </row>
    <row r="34" spans="1:27" ht="15" x14ac:dyDescent="0.25">
      <c r="A34" s="1" t="s">
        <v>8</v>
      </c>
      <c r="C34" s="15"/>
      <c r="D34" s="15">
        <f t="shared" ref="D34:J34" si="21">D32/C32-1</f>
        <v>0.13257575757575757</v>
      </c>
      <c r="E34" s="15">
        <f t="shared" si="21"/>
        <v>0.13266443701226294</v>
      </c>
      <c r="F34" s="15">
        <f t="shared" si="21"/>
        <v>9.6456692913385877E-2</v>
      </c>
      <c r="G34" s="15">
        <f t="shared" si="21"/>
        <v>9.2459605026930181E-2</v>
      </c>
      <c r="H34" s="15">
        <f t="shared" si="21"/>
        <v>8.4634346754313583E-2</v>
      </c>
      <c r="I34" s="15">
        <f t="shared" si="21"/>
        <v>8.0303030303030543E-2</v>
      </c>
      <c r="J34" s="15">
        <f t="shared" si="21"/>
        <v>7.9943899018232623E-2</v>
      </c>
    </row>
    <row r="35" spans="1:27" ht="15" x14ac:dyDescent="0.25">
      <c r="A35" s="1" t="s">
        <v>75</v>
      </c>
      <c r="B35" s="2" t="s">
        <v>10</v>
      </c>
      <c r="C35" s="35">
        <f>IF(B3="AR 2008",C52+83,C53)</f>
        <v>820</v>
      </c>
      <c r="D35" s="15"/>
      <c r="E35" s="15"/>
      <c r="F35" s="15"/>
      <c r="G35" s="15"/>
      <c r="H35" s="15"/>
      <c r="I35" s="15"/>
      <c r="J35" s="15"/>
    </row>
    <row r="36" spans="1:27" s="1" customFormat="1" x14ac:dyDescent="0.2">
      <c r="A36" s="1" t="s">
        <v>81</v>
      </c>
      <c r="B36" s="1" t="s">
        <v>10</v>
      </c>
      <c r="C36" s="72">
        <f>MAX(0,C32-C35)</f>
        <v>0</v>
      </c>
      <c r="D36" s="77">
        <f>C20/(C33*8.76)</f>
        <v>3.6886227544910177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1:27" ht="15" x14ac:dyDescent="0.25">
      <c r="A37" s="1" t="s">
        <v>79</v>
      </c>
      <c r="C37" s="15">
        <f>C35/C32-1</f>
        <v>3.5353535353535248E-2</v>
      </c>
      <c r="D37" s="34">
        <f>C37</f>
        <v>3.5353535353535248E-2</v>
      </c>
      <c r="E37" s="34">
        <f t="shared" ref="E37:AA37" si="22">D37</f>
        <v>3.5353535353535248E-2</v>
      </c>
      <c r="F37" s="34">
        <f t="shared" si="22"/>
        <v>3.5353535353535248E-2</v>
      </c>
      <c r="G37" s="34">
        <f t="shared" si="22"/>
        <v>3.5353535353535248E-2</v>
      </c>
      <c r="H37" s="34">
        <f t="shared" si="22"/>
        <v>3.5353535353535248E-2</v>
      </c>
      <c r="I37" s="34">
        <f t="shared" si="22"/>
        <v>3.5353535353535248E-2</v>
      </c>
      <c r="J37" s="34">
        <f t="shared" si="22"/>
        <v>3.5353535353535248E-2</v>
      </c>
      <c r="K37" s="34">
        <f t="shared" si="22"/>
        <v>3.5353535353535248E-2</v>
      </c>
      <c r="L37" s="34">
        <f t="shared" si="22"/>
        <v>3.5353535353535248E-2</v>
      </c>
      <c r="M37" s="34">
        <f t="shared" si="22"/>
        <v>3.5353535353535248E-2</v>
      </c>
      <c r="N37" s="34">
        <f t="shared" si="22"/>
        <v>3.5353535353535248E-2</v>
      </c>
      <c r="O37" s="34">
        <f t="shared" si="22"/>
        <v>3.5353535353535248E-2</v>
      </c>
      <c r="P37" s="34">
        <f t="shared" si="22"/>
        <v>3.5353535353535248E-2</v>
      </c>
      <c r="Q37" s="34">
        <f t="shared" si="22"/>
        <v>3.5353535353535248E-2</v>
      </c>
      <c r="R37" s="34">
        <f t="shared" si="22"/>
        <v>3.5353535353535248E-2</v>
      </c>
      <c r="S37" s="34">
        <f t="shared" si="22"/>
        <v>3.5353535353535248E-2</v>
      </c>
      <c r="T37" s="34">
        <f t="shared" si="22"/>
        <v>3.5353535353535248E-2</v>
      </c>
      <c r="U37" s="34">
        <f t="shared" si="22"/>
        <v>3.5353535353535248E-2</v>
      </c>
      <c r="V37" s="34">
        <f t="shared" si="22"/>
        <v>3.5353535353535248E-2</v>
      </c>
      <c r="W37" s="34">
        <f t="shared" si="22"/>
        <v>3.5353535353535248E-2</v>
      </c>
      <c r="X37" s="34">
        <f t="shared" si="22"/>
        <v>3.5353535353535248E-2</v>
      </c>
      <c r="Y37" s="34">
        <f t="shared" si="22"/>
        <v>3.5353535353535248E-2</v>
      </c>
      <c r="Z37" s="34">
        <f t="shared" si="22"/>
        <v>3.5353535353535248E-2</v>
      </c>
      <c r="AA37" s="34">
        <f t="shared" si="22"/>
        <v>3.5353535353535248E-2</v>
      </c>
    </row>
    <row r="38" spans="1:27" ht="15" x14ac:dyDescent="0.25">
      <c r="A38" s="1"/>
      <c r="C38" s="15"/>
      <c r="D38" s="15"/>
      <c r="E38" s="15"/>
      <c r="F38" s="15"/>
      <c r="G38" s="15"/>
      <c r="H38" s="15"/>
      <c r="I38" s="15"/>
      <c r="J38" s="15"/>
    </row>
    <row r="39" spans="1:27" ht="15" x14ac:dyDescent="0.25">
      <c r="A39" s="3" t="s">
        <v>78</v>
      </c>
      <c r="C39" s="15"/>
      <c r="D39" s="36"/>
      <c r="E39" s="36"/>
      <c r="F39" s="36"/>
      <c r="G39" s="36"/>
      <c r="H39" s="36"/>
      <c r="I39" s="35"/>
      <c r="J39" s="35"/>
    </row>
    <row r="40" spans="1:27" ht="15" x14ac:dyDescent="0.25">
      <c r="A40" s="1" t="s">
        <v>69</v>
      </c>
      <c r="B40" s="1" t="s">
        <v>1</v>
      </c>
      <c r="D40" s="23">
        <f>SUMIF(AR2008_EnergyProj!$A$3:$A$14,ANG!$A$2,AR2008_EnergyProj!B$3:B$14)</f>
        <v>5105</v>
      </c>
      <c r="E40" s="23">
        <f>SUMIF(AR2008_EnergyProj!$A$3:$A$14,ANG!$A$2,AR2008_EnergyProj!C$3:C$14)</f>
        <v>5784</v>
      </c>
      <c r="F40" s="23">
        <f>SUMIF(AR2008_EnergyProj!$A$3:$A$14,ANG!$A$2,AR2008_EnergyProj!D$3:D$14)</f>
        <v>6343</v>
      </c>
      <c r="G40" s="23">
        <f>SUMIF(AR2008_EnergyProj!$A$3:$A$14,ANG!$A$2,AR2008_EnergyProj!E$3:E$14)</f>
        <v>6929</v>
      </c>
      <c r="H40" s="23">
        <f>SUMIF(AR2008_EnergyProj!$A$3:$A$14,ANG!$A$2,AR2008_EnergyProj!F$3:F$14)</f>
        <v>7516</v>
      </c>
      <c r="I40" s="23">
        <f>SUMIF(AR2008_EnergyProj!$A$3:$A$14,ANG!$A$2,AR2008_EnergyProj!G$3:G$14)</f>
        <v>8122</v>
      </c>
      <c r="J40" s="23">
        <f>SUMIF(AR2008_EnergyProj!$A$3:$A$14,ANG!$A$2,AR2008_EnergyProj!H$3:H$14)</f>
        <v>8771.5</v>
      </c>
      <c r="K40" s="23">
        <f>SUMIF(AR2008_EnergyProj!$A$3:$A$14,ANG!$A$2,AR2008_EnergyProj!I$3:I$14)</f>
        <v>9437.2000000000007</v>
      </c>
      <c r="L40" s="23">
        <f>SUMIF(AR2008_EnergyProj!$A$3:$A$14,ANG!$A$2,AR2008_EnergyProj!J$3:J$14)</f>
        <v>10032</v>
      </c>
      <c r="M40" s="23">
        <f>SUMIF(AR2008_EnergyProj!$A$3:$A$14,ANG!$A$2,AR2008_EnergyProj!K$3:K$14)</f>
        <v>10658</v>
      </c>
      <c r="N40" s="23">
        <f>SUMIF(AR2008_EnergyProj!$A$3:$A$14,ANG!$A$2,AR2008_EnergyProj!L$3:L$14)</f>
        <v>11316</v>
      </c>
      <c r="O40" s="23">
        <f>SUMIF(AR2008_EnergyProj!$A$3:$A$14,ANG!$A$2,AR2008_EnergyProj!M$3:M$14)</f>
        <v>12008</v>
      </c>
      <c r="P40" s="23">
        <f>SUMIF(AR2008_EnergyProj!$A$3:$A$14,ANG!$A$2,AR2008_EnergyProj!N$3:N$14)</f>
        <v>12674</v>
      </c>
      <c r="Q40" s="23">
        <f>SUMIF(AR2008_EnergyProj!$A$3:$A$14,ANG!$A$2,AR2008_EnergyProj!O$3:O$14)</f>
        <v>13364</v>
      </c>
      <c r="R40" s="23">
        <f>SUMIF(AR2008_EnergyProj!$A$3:$A$14,ANG!$A$2,AR2008_EnergyProj!P$3:P$14)</f>
        <v>14077</v>
      </c>
      <c r="S40" s="23">
        <f>SUMIF(AR2008_EnergyProj!$A$3:$A$14,ANG!$A$2,AR2008_EnergyProj!Q$3:Q$14)</f>
        <v>14812</v>
      </c>
      <c r="T40" s="23">
        <f>SUMIF(AR2008_EnergyProj!$A$3:$A$14,ANG!$A$2,AR2008_EnergyProj!R$3:R$14)</f>
        <v>15568</v>
      </c>
    </row>
    <row r="41" spans="1:27" ht="15" x14ac:dyDescent="0.25">
      <c r="A41" s="1" t="s">
        <v>11</v>
      </c>
      <c r="B41" s="1"/>
      <c r="D41" s="26">
        <f>VLOOKUP($A$2,AR2008_Stats!$B$4:$O$15,AR2008_Stats!I$1,FALSE)/100</f>
        <v>0.18100000000000002</v>
      </c>
      <c r="E41" s="18">
        <f>E40/D40-1</f>
        <v>0.13300685602350626</v>
      </c>
      <c r="F41" s="18">
        <f t="shared" ref="F41:T41" si="23">F40/E40-1</f>
        <v>9.6645919778699962E-2</v>
      </c>
      <c r="G41" s="18">
        <f t="shared" si="23"/>
        <v>9.2385306637237985E-2</v>
      </c>
      <c r="H41" s="18">
        <f t="shared" si="23"/>
        <v>8.4716409294270489E-2</v>
      </c>
      <c r="I41" s="18">
        <f t="shared" si="23"/>
        <v>8.0627993613624271E-2</v>
      </c>
      <c r="J41" s="18">
        <f t="shared" si="23"/>
        <v>7.9967988180251082E-2</v>
      </c>
      <c r="K41" s="18">
        <f t="shared" si="23"/>
        <v>7.5893518782420344E-2</v>
      </c>
      <c r="L41" s="18">
        <f t="shared" si="23"/>
        <v>6.3027169075573264E-2</v>
      </c>
      <c r="M41" s="18">
        <f t="shared" si="23"/>
        <v>6.2400318979266345E-2</v>
      </c>
      <c r="N41" s="18">
        <f t="shared" si="23"/>
        <v>6.1737661850253422E-2</v>
      </c>
      <c r="O41" s="18">
        <f t="shared" si="23"/>
        <v>6.1152350653941312E-2</v>
      </c>
      <c r="P41" s="18">
        <f t="shared" si="23"/>
        <v>5.5463024650233228E-2</v>
      </c>
      <c r="Q41" s="18">
        <f t="shared" si="23"/>
        <v>5.4442165062332348E-2</v>
      </c>
      <c r="R41" s="18">
        <f t="shared" si="23"/>
        <v>5.3352289733612723E-2</v>
      </c>
      <c r="S41" s="18">
        <f t="shared" si="23"/>
        <v>5.221282943809058E-2</v>
      </c>
      <c r="T41" s="18">
        <f t="shared" si="23"/>
        <v>5.1039697542533125E-2</v>
      </c>
      <c r="U41" s="4">
        <f>T41</f>
        <v>5.1039697542533125E-2</v>
      </c>
    </row>
    <row r="42" spans="1:27" ht="15" x14ac:dyDescent="0.25">
      <c r="A42" s="1" t="s">
        <v>40</v>
      </c>
      <c r="B42" s="1" t="s">
        <v>1</v>
      </c>
      <c r="C42" s="23">
        <f>SUMIF(PoolPlan_EnergyProj!$B$60:$B$71,ANG!$A$2,PoolPlan_EnergyProj!D$60:D$71)</f>
        <v>4509</v>
      </c>
      <c r="D42" s="23">
        <f>SUMIF(PoolPlan_EnergyProj!$B$60:$B$71,ANG!$A$2,PoolPlan_EnergyProj!E$60:E$71)</f>
        <v>5105</v>
      </c>
      <c r="E42" s="23">
        <f>SUMIF(PoolPlan_EnergyProj!$B$60:$B$71,ANG!$A$2,PoolPlan_EnergyProj!F$60:F$71)</f>
        <v>5784</v>
      </c>
      <c r="F42" s="23">
        <f>SUMIF(PoolPlan_EnergyProj!$B$60:$B$71,ANG!$A$2,PoolPlan_EnergyProj!G$60:G$71)</f>
        <v>6343</v>
      </c>
      <c r="G42" s="23">
        <f>SUMIF(PoolPlan_EnergyProj!$B$60:$B$71,ANG!$A$2,PoolPlan_EnergyProj!H$60:H$71)</f>
        <v>6929</v>
      </c>
      <c r="H42" s="23">
        <f>SUMIF(PoolPlan_EnergyProj!$B$60:$B$71,ANG!$A$2,PoolPlan_EnergyProj!I$60:I$71)</f>
        <v>7516</v>
      </c>
      <c r="I42" s="23">
        <f>SUMIF(PoolPlan_EnergyProj!$B$60:$B$71,ANG!$A$2,PoolPlan_EnergyProj!J$60:J$71)</f>
        <v>8122</v>
      </c>
      <c r="J42" s="23">
        <f>SUMIF(PoolPlan_EnergyProj!$B$60:$B$71,ANG!$A$2,PoolPlan_EnergyProj!K$60:K$71)</f>
        <v>8772</v>
      </c>
      <c r="K42" s="23">
        <f>SUMIF(PoolPlan_EnergyProj!$B$60:$B$71,ANG!$A$2,PoolPlan_EnergyProj!L$60:L$71)</f>
        <v>9437</v>
      </c>
      <c r="L42" s="23">
        <f>SUMIF(PoolPlan_EnergyProj!$B$60:$B$71,ANG!$A$2,PoolPlan_EnergyProj!M$60:M$71)</f>
        <v>10032</v>
      </c>
      <c r="M42" s="23">
        <f>SUMIF(PoolPlan_EnergyProj!$B$60:$B$71,ANG!$A$2,PoolPlan_EnergyProj!N$60:N$71)</f>
        <v>10658</v>
      </c>
      <c r="N42" s="23">
        <f>SUMIF(PoolPlan_EnergyProj!$B$60:$B$71,ANG!$A$2,PoolPlan_EnergyProj!O$60:O$71)</f>
        <v>11316</v>
      </c>
      <c r="O42" s="23">
        <f>SUMIF(PoolPlan_EnergyProj!$B$60:$B$71,ANG!$A$2,PoolPlan_EnergyProj!P$60:P$71)</f>
        <v>12008</v>
      </c>
      <c r="P42" s="23">
        <f>SUMIF(PoolPlan_EnergyProj!$B$60:$B$71,ANG!$A$2,PoolPlan_EnergyProj!Q$60:Q$71)</f>
        <v>12674</v>
      </c>
      <c r="Q42" s="23">
        <f>SUMIF(PoolPlan_EnergyProj!$B$60:$B$71,ANG!$A$2,PoolPlan_EnergyProj!R$60:R$71)</f>
        <v>13364</v>
      </c>
      <c r="R42" s="23">
        <f>SUMIF(PoolPlan_EnergyProj!$B$60:$B$71,ANG!$A$2,PoolPlan_EnergyProj!S$60:S$71)</f>
        <v>14077</v>
      </c>
      <c r="S42" s="23">
        <f>SUMIF(PoolPlan_EnergyProj!$B$60:$B$71,ANG!$A$2,PoolPlan_EnergyProj!T$60:T$71)</f>
        <v>14812</v>
      </c>
      <c r="T42" s="23">
        <f>SUMIF(PoolPlan_EnergyProj!$B$60:$B$71,ANG!$A$2,PoolPlan_EnergyProj!U$60:U$71)</f>
        <v>15568</v>
      </c>
      <c r="U42" s="23">
        <f>SUMIF(PoolPlan_EnergyProj!$B$60:$B$71,ANG!$A$2,PoolPlan_EnergyProj!V$60:V$71)</f>
        <v>16345</v>
      </c>
      <c r="V42" s="23"/>
    </row>
    <row r="43" spans="1:27" x14ac:dyDescent="0.2">
      <c r="A43" s="1" t="s">
        <v>11</v>
      </c>
      <c r="B43" s="1"/>
      <c r="C43" s="16"/>
      <c r="D43" s="18">
        <f>D42/C42-1</f>
        <v>0.13218008427589267</v>
      </c>
      <c r="E43" s="18">
        <f t="shared" ref="E43:U43" si="24">E42/D42-1</f>
        <v>0.13300685602350626</v>
      </c>
      <c r="F43" s="18">
        <f t="shared" si="24"/>
        <v>9.6645919778699962E-2</v>
      </c>
      <c r="G43" s="18">
        <f t="shared" si="24"/>
        <v>9.2385306637237985E-2</v>
      </c>
      <c r="H43" s="18">
        <f t="shared" si="24"/>
        <v>8.4716409294270489E-2</v>
      </c>
      <c r="I43" s="18">
        <f t="shared" si="24"/>
        <v>8.0627993613624271E-2</v>
      </c>
      <c r="J43" s="18">
        <f t="shared" si="24"/>
        <v>8.0029549372075737E-2</v>
      </c>
      <c r="K43" s="18">
        <f t="shared" si="24"/>
        <v>7.5809393524851831E-2</v>
      </c>
      <c r="L43" s="18">
        <f t="shared" si="24"/>
        <v>6.3049697997244802E-2</v>
      </c>
      <c r="M43" s="18">
        <f t="shared" si="24"/>
        <v>6.2400318979266345E-2</v>
      </c>
      <c r="N43" s="18">
        <f t="shared" si="24"/>
        <v>6.1737661850253422E-2</v>
      </c>
      <c r="O43" s="18">
        <f t="shared" si="24"/>
        <v>6.1152350653941312E-2</v>
      </c>
      <c r="P43" s="18">
        <f t="shared" si="24"/>
        <v>5.5463024650233228E-2</v>
      </c>
      <c r="Q43" s="18">
        <f t="shared" si="24"/>
        <v>5.4442165062332348E-2</v>
      </c>
      <c r="R43" s="18">
        <f t="shared" si="24"/>
        <v>5.3352289733612723E-2</v>
      </c>
      <c r="S43" s="18">
        <f t="shared" si="24"/>
        <v>5.221282943809058E-2</v>
      </c>
      <c r="T43" s="18">
        <f t="shared" si="24"/>
        <v>5.1039697542533125E-2</v>
      </c>
      <c r="U43" s="18">
        <f t="shared" si="24"/>
        <v>4.9910071942446121E-2</v>
      </c>
    </row>
    <row r="44" spans="1:27" x14ac:dyDescent="0.2">
      <c r="A44" s="1"/>
      <c r="B44" s="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7" ht="15" x14ac:dyDescent="0.25">
      <c r="A45" s="1" t="s">
        <v>9</v>
      </c>
      <c r="B45" s="1" t="s">
        <v>10</v>
      </c>
      <c r="C45"/>
      <c r="D45">
        <f>SUMIF(AR2008_PeakProj!$A$3:$A$14,ANG!$A$2,AR2008_PeakProj!B$3:B$14)</f>
        <v>897</v>
      </c>
      <c r="E45">
        <f>SUMIF(AR2008_PeakProj!$A$3:$A$14,ANG!$A$2,AR2008_PeakProj!C$3:C$14)</f>
        <v>1016</v>
      </c>
      <c r="F45">
        <f>SUMIF(AR2008_PeakProj!$A$3:$A$14,ANG!$A$2,AR2008_PeakProj!D$3:D$14)</f>
        <v>1114</v>
      </c>
      <c r="G45">
        <f>SUMIF(AR2008_PeakProj!$A$3:$A$14,ANG!$A$2,AR2008_PeakProj!E$3:E$14)</f>
        <v>1217</v>
      </c>
      <c r="H45">
        <f>SUMIF(AR2008_PeakProj!$A$3:$A$14,ANG!$A$2,AR2008_PeakProj!F$3:F$14)</f>
        <v>1320</v>
      </c>
      <c r="I45">
        <f>SUMIF(AR2008_PeakProj!$A$3:$A$14,ANG!$A$2,AR2008_PeakProj!G$3:G$14)</f>
        <v>1426</v>
      </c>
      <c r="J45">
        <f>SUMIF(AR2008_PeakProj!$A$3:$A$14,ANG!$A$2,AR2008_PeakProj!H$3:H$14)</f>
        <v>1540</v>
      </c>
      <c r="K45">
        <f>SUMIF(AR2008_PeakProj!$A$3:$A$14,ANG!$A$2,AR2008_PeakProj!I$3:I$14)</f>
        <v>1657</v>
      </c>
      <c r="L45">
        <f>SUMIF(AR2008_PeakProj!$A$3:$A$14,ANG!$A$2,AR2008_PeakProj!J$3:J$14)</f>
        <v>1762</v>
      </c>
      <c r="M45">
        <f>SUMIF(AR2008_PeakProj!$A$3:$A$14,ANG!$A$2,AR2008_PeakProj!K$3:K$14)</f>
        <v>1872</v>
      </c>
      <c r="N45">
        <f>SUMIF(AR2008_PeakProj!$A$3:$A$14,ANG!$A$2,AR2008_PeakProj!L$3:L$14)</f>
        <v>1987</v>
      </c>
      <c r="O45">
        <f>SUMIF(AR2008_PeakProj!$A$3:$A$14,ANG!$A$2,AR2008_PeakProj!M$3:M$14)</f>
        <v>2109</v>
      </c>
      <c r="P45">
        <f>SUMIF(AR2008_PeakProj!$A$3:$A$14,ANG!$A$2,AR2008_PeakProj!N$3:N$14)</f>
        <v>2226</v>
      </c>
      <c r="Q45">
        <f>SUMIF(AR2008_PeakProj!$A$3:$A$14,ANG!$A$2,AR2008_PeakProj!O$3:O$14)</f>
        <v>2347</v>
      </c>
      <c r="R45">
        <f>SUMIF(AR2008_PeakProj!$A$3:$A$14,ANG!$A$2,AR2008_PeakProj!P$3:P$14)</f>
        <v>2472</v>
      </c>
      <c r="S45">
        <f>SUMIF(AR2008_PeakProj!$A$3:$A$14,ANG!$A$2,AR2008_PeakProj!Q$3:Q$14)</f>
        <v>2601</v>
      </c>
      <c r="T45">
        <f>SUMIF(AR2008_PeakProj!$A$3:$A$14,ANG!$A$2,AR2008_PeakProj!R$3:R$14)</f>
        <v>2734</v>
      </c>
      <c r="U45">
        <f>SUMIF(AR2008_PeakProj!$A$3:$A$14,ANG!$A$2,AR2008_PeakProj!S$3:S$14)</f>
        <v>2871</v>
      </c>
    </row>
    <row r="46" spans="1:27" x14ac:dyDescent="0.2">
      <c r="A46" s="1" t="s">
        <v>11</v>
      </c>
      <c r="B46" s="1" t="s">
        <v>12</v>
      </c>
      <c r="E46" s="18">
        <f>E45/D45-1</f>
        <v>0.13266443701226316</v>
      </c>
      <c r="F46" s="18">
        <f t="shared" ref="F46:U46" si="25">F45/E45-1</f>
        <v>9.6456692913385877E-2</v>
      </c>
      <c r="G46" s="18">
        <f t="shared" si="25"/>
        <v>9.2459605026929959E-2</v>
      </c>
      <c r="H46" s="18">
        <f t="shared" si="25"/>
        <v>8.4634346754313805E-2</v>
      </c>
      <c r="I46" s="18">
        <f t="shared" si="25"/>
        <v>8.0303030303030321E-2</v>
      </c>
      <c r="J46" s="18">
        <f t="shared" si="25"/>
        <v>7.9943899018232845E-2</v>
      </c>
      <c r="K46" s="18">
        <f t="shared" si="25"/>
        <v>7.5974025974026027E-2</v>
      </c>
      <c r="L46" s="18">
        <f t="shared" si="25"/>
        <v>6.3367531683765854E-2</v>
      </c>
      <c r="M46" s="18">
        <f t="shared" si="25"/>
        <v>6.242905788876274E-2</v>
      </c>
      <c r="N46" s="18">
        <f t="shared" si="25"/>
        <v>6.1431623931623935E-2</v>
      </c>
      <c r="O46" s="18">
        <f t="shared" si="25"/>
        <v>6.1399094111726171E-2</v>
      </c>
      <c r="P46" s="18">
        <f t="shared" si="25"/>
        <v>5.5476529160739751E-2</v>
      </c>
      <c r="Q46" s="18">
        <f t="shared" si="25"/>
        <v>5.4357592093441154E-2</v>
      </c>
      <c r="R46" s="18">
        <f t="shared" si="25"/>
        <v>5.3259480187473285E-2</v>
      </c>
      <c r="S46" s="18">
        <f t="shared" si="25"/>
        <v>5.2184466019417508E-2</v>
      </c>
      <c r="T46" s="18">
        <f t="shared" si="25"/>
        <v>5.1134179161860915E-2</v>
      </c>
      <c r="U46" s="18">
        <f t="shared" si="25"/>
        <v>5.0109729334308684E-2</v>
      </c>
    </row>
    <row r="47" spans="1:27" ht="15" x14ac:dyDescent="0.25">
      <c r="A47" s="1" t="s">
        <v>39</v>
      </c>
      <c r="B47" s="1" t="s">
        <v>10</v>
      </c>
      <c r="C47">
        <f>SUMIF(PoolPlan_PeakProj!$A$25:$A$36,ANG!$A$2,PoolPlan_PeakProj!C$25:C$36)</f>
        <v>792</v>
      </c>
      <c r="D47">
        <f>SUMIF(PoolPlan_PeakProj!$A$25:$A$36,ANG!$A$2,PoolPlan_PeakProj!D$25:D$36)</f>
        <v>897</v>
      </c>
      <c r="E47">
        <f>SUMIF(PoolPlan_PeakProj!$A$25:$A$36,ANG!$A$2,PoolPlan_PeakProj!E$25:E$36)</f>
        <v>1016</v>
      </c>
      <c r="F47">
        <f>SUMIF(PoolPlan_PeakProj!$A$25:$A$36,ANG!$A$2,PoolPlan_PeakProj!F$25:F$36)</f>
        <v>1114</v>
      </c>
      <c r="G47">
        <f>SUMIF(PoolPlan_PeakProj!$A$25:$A$36,ANG!$A$2,PoolPlan_PeakProj!G$25:G$36)</f>
        <v>1217</v>
      </c>
      <c r="H47">
        <f>SUMIF(PoolPlan_PeakProj!$A$25:$A$36,ANG!$A$2,PoolPlan_PeakProj!H$25:H$36)</f>
        <v>1320</v>
      </c>
      <c r="I47">
        <f>SUMIF(PoolPlan_PeakProj!$A$25:$A$36,ANG!$A$2,PoolPlan_PeakProj!I$25:I$36)</f>
        <v>1426</v>
      </c>
      <c r="J47">
        <f>SUMIF(PoolPlan_PeakProj!$A$25:$A$36,ANG!$A$2,PoolPlan_PeakProj!J$25:J$36)</f>
        <v>1540</v>
      </c>
      <c r="K47">
        <f>SUMIF(PoolPlan_PeakProj!$A$25:$A$36,ANG!$A$2,PoolPlan_PeakProj!K$25:K$36)</f>
        <v>1657</v>
      </c>
      <c r="L47">
        <f>SUMIF(PoolPlan_PeakProj!$A$25:$A$36,ANG!$A$2,PoolPlan_PeakProj!L$25:L$36)</f>
        <v>1762</v>
      </c>
      <c r="M47">
        <f>SUMIF(PoolPlan_PeakProj!$A$25:$A$36,ANG!$A$2,PoolPlan_PeakProj!M$25:M$36)</f>
        <v>1872</v>
      </c>
      <c r="N47">
        <f>SUMIF(PoolPlan_PeakProj!$A$25:$A$36,ANG!$A$2,PoolPlan_PeakProj!N$25:N$36)</f>
        <v>1987</v>
      </c>
      <c r="O47">
        <f>SUMIF(PoolPlan_PeakProj!$A$25:$A$36,ANG!$A$2,PoolPlan_PeakProj!O$25:O$36)</f>
        <v>2109</v>
      </c>
      <c r="P47">
        <f>SUMIF(PoolPlan_PeakProj!$A$25:$A$36,ANG!$A$2,PoolPlan_PeakProj!P$25:P$36)</f>
        <v>2226</v>
      </c>
      <c r="Q47">
        <f>SUMIF(PoolPlan_PeakProj!$A$25:$A$36,ANG!$A$2,PoolPlan_PeakProj!Q$25:Q$36)</f>
        <v>2347</v>
      </c>
      <c r="R47">
        <f>SUMIF(PoolPlan_PeakProj!$A$25:$A$36,ANG!$A$2,PoolPlan_PeakProj!R$25:R$36)</f>
        <v>2472</v>
      </c>
      <c r="S47">
        <f>SUMIF(PoolPlan_PeakProj!$A$25:$A$36,ANG!$A$2,PoolPlan_PeakProj!S$25:S$36)</f>
        <v>2601</v>
      </c>
      <c r="T47">
        <f>SUMIF(PoolPlan_PeakProj!$A$25:$A$36,ANG!$A$2,PoolPlan_PeakProj!T$25:T$36)</f>
        <v>2734</v>
      </c>
      <c r="U47">
        <f>SUMIF(PoolPlan_PeakProj!$A$25:$A$36,ANG!$A$2,PoolPlan_PeakProj!U$25:U$36)</f>
        <v>2871</v>
      </c>
    </row>
    <row r="48" spans="1:27" x14ac:dyDescent="0.2">
      <c r="A48" s="1" t="s">
        <v>11</v>
      </c>
      <c r="B48" s="1"/>
      <c r="D48" s="18">
        <f>D47/C47-1</f>
        <v>0.13257575757575757</v>
      </c>
      <c r="E48" s="18">
        <f t="shared" ref="E48:U48" si="26">E47/D47-1</f>
        <v>0.13266443701226316</v>
      </c>
      <c r="F48" s="18">
        <f t="shared" si="26"/>
        <v>9.6456692913385877E-2</v>
      </c>
      <c r="G48" s="18">
        <f t="shared" si="26"/>
        <v>9.2459605026929959E-2</v>
      </c>
      <c r="H48" s="18">
        <f t="shared" si="26"/>
        <v>8.4634346754313805E-2</v>
      </c>
      <c r="I48" s="18">
        <f t="shared" si="26"/>
        <v>8.0303030303030321E-2</v>
      </c>
      <c r="J48" s="18">
        <f t="shared" si="26"/>
        <v>7.9943899018232845E-2</v>
      </c>
      <c r="K48" s="18">
        <f t="shared" si="26"/>
        <v>7.5974025974026027E-2</v>
      </c>
      <c r="L48" s="18">
        <f t="shared" si="26"/>
        <v>6.3367531683765854E-2</v>
      </c>
      <c r="M48" s="18">
        <f t="shared" si="26"/>
        <v>6.242905788876274E-2</v>
      </c>
      <c r="N48" s="18">
        <f t="shared" si="26"/>
        <v>6.1431623931623935E-2</v>
      </c>
      <c r="O48" s="18">
        <f t="shared" si="26"/>
        <v>6.1399094111726171E-2</v>
      </c>
      <c r="P48" s="18">
        <f t="shared" si="26"/>
        <v>5.5476529160739751E-2</v>
      </c>
      <c r="Q48" s="18">
        <f t="shared" si="26"/>
        <v>5.4357592093441154E-2</v>
      </c>
      <c r="R48" s="18">
        <f t="shared" si="26"/>
        <v>5.3259480187473285E-2</v>
      </c>
      <c r="S48" s="18">
        <f t="shared" si="26"/>
        <v>5.2184466019417508E-2</v>
      </c>
      <c r="T48" s="18">
        <f t="shared" si="26"/>
        <v>5.1134179161860915E-2</v>
      </c>
      <c r="U48" s="18">
        <f t="shared" si="26"/>
        <v>5.0109729334308684E-2</v>
      </c>
    </row>
    <row r="49" spans="1:20" x14ac:dyDescent="0.2">
      <c r="A49" s="1" t="s">
        <v>70</v>
      </c>
      <c r="B49" s="1" t="s">
        <v>12</v>
      </c>
      <c r="D49" s="18">
        <f t="shared" ref="D49:T49" si="27">D40/(D45*8.76)</f>
        <v>0.64967955081117679</v>
      </c>
      <c r="E49" s="18">
        <f t="shared" si="27"/>
        <v>0.64987595728616121</v>
      </c>
      <c r="F49" s="18">
        <f t="shared" si="27"/>
        <v>0.64998811309772675</v>
      </c>
      <c r="G49" s="18">
        <f t="shared" si="27"/>
        <v>0.64994390728004714</v>
      </c>
      <c r="H49" s="18">
        <f t="shared" si="27"/>
        <v>0.64999308149993085</v>
      </c>
      <c r="I49" s="18">
        <f t="shared" si="27"/>
        <v>0.65018860432797299</v>
      </c>
      <c r="J49" s="18">
        <f t="shared" si="27"/>
        <v>0.65020310739488818</v>
      </c>
      <c r="K49" s="18">
        <f t="shared" si="27"/>
        <v>0.65015445749732015</v>
      </c>
      <c r="L49" s="18">
        <f t="shared" si="27"/>
        <v>0.64994635610218776</v>
      </c>
      <c r="M49" s="18">
        <f t="shared" si="27"/>
        <v>0.64992877492877488</v>
      </c>
      <c r="N49" s="18">
        <f t="shared" si="27"/>
        <v>0.65011616603815214</v>
      </c>
      <c r="O49" s="18">
        <f t="shared" si="27"/>
        <v>0.64996503352667734</v>
      </c>
      <c r="P49" s="18">
        <f t="shared" si="27"/>
        <v>0.64995671741600924</v>
      </c>
      <c r="Q49" s="18">
        <f t="shared" si="27"/>
        <v>0.65000885226063387</v>
      </c>
      <c r="R49" s="18">
        <f t="shared" si="27"/>
        <v>0.65006612877007874</v>
      </c>
      <c r="S49" s="18">
        <f t="shared" si="27"/>
        <v>0.65008365240625754</v>
      </c>
      <c r="T49" s="18">
        <f t="shared" si="27"/>
        <v>0.65002521937516078</v>
      </c>
    </row>
    <row r="50" spans="1:20" x14ac:dyDescent="0.2">
      <c r="A50" s="1" t="s">
        <v>41</v>
      </c>
      <c r="C50" s="18">
        <f t="shared" ref="C50:T50" si="28">C42/(C47*8.76)</f>
        <v>0.64990660024906599</v>
      </c>
      <c r="D50" s="18">
        <f t="shared" si="28"/>
        <v>0.64967955081117679</v>
      </c>
      <c r="E50" s="18">
        <f t="shared" si="28"/>
        <v>0.64987595728616121</v>
      </c>
      <c r="F50" s="18">
        <f t="shared" si="28"/>
        <v>0.64998811309772675</v>
      </c>
      <c r="G50" s="18">
        <f t="shared" si="28"/>
        <v>0.64994390728004714</v>
      </c>
      <c r="H50" s="18">
        <f t="shared" si="28"/>
        <v>0.64999308149993085</v>
      </c>
      <c r="I50" s="18">
        <f t="shared" si="28"/>
        <v>0.65018860432797299</v>
      </c>
      <c r="J50" s="18">
        <f t="shared" si="28"/>
        <v>0.65024017078811602</v>
      </c>
      <c r="K50" s="18">
        <f t="shared" si="28"/>
        <v>0.65014067895161798</v>
      </c>
      <c r="L50" s="18">
        <f t="shared" si="28"/>
        <v>0.64994635610218776</v>
      </c>
      <c r="M50" s="18">
        <f t="shared" si="28"/>
        <v>0.64992877492877488</v>
      </c>
      <c r="N50" s="18">
        <f t="shared" si="28"/>
        <v>0.65011616603815214</v>
      </c>
      <c r="O50" s="18">
        <f t="shared" si="28"/>
        <v>0.64996503352667734</v>
      </c>
      <c r="P50" s="18">
        <f t="shared" si="28"/>
        <v>0.64995671741600924</v>
      </c>
      <c r="Q50" s="18">
        <f t="shared" si="28"/>
        <v>0.65000885226063387</v>
      </c>
      <c r="R50" s="18">
        <f t="shared" si="28"/>
        <v>0.65006612877007874</v>
      </c>
      <c r="S50" s="18">
        <f t="shared" si="28"/>
        <v>0.65008365240625754</v>
      </c>
      <c r="T50" s="18">
        <f t="shared" si="28"/>
        <v>0.65002521937516078</v>
      </c>
    </row>
    <row r="51" spans="1:20" x14ac:dyDescent="0.2">
      <c r="A51" s="1" t="s">
        <v>114</v>
      </c>
      <c r="C51" s="18"/>
      <c r="D51" s="16">
        <f>D50/C50-1</f>
        <v>-3.4935702730543028E-4</v>
      </c>
      <c r="E51" s="16">
        <f t="shared" ref="E51:T51" si="29">E50/D50-1</f>
        <v>3.0231284752479937E-4</v>
      </c>
      <c r="F51" s="16">
        <f t="shared" si="29"/>
        <v>1.7258033676759155E-4</v>
      </c>
      <c r="G51" s="16">
        <f t="shared" si="29"/>
        <v>-6.801019401558861E-5</v>
      </c>
      <c r="H51" s="16">
        <f t="shared" si="29"/>
        <v>7.5659175096332021E-5</v>
      </c>
      <c r="I51" s="16">
        <f t="shared" si="29"/>
        <v>3.008075525834375E-4</v>
      </c>
      <c r="J51" s="16">
        <f t="shared" si="29"/>
        <v>7.9310002974120053E-5</v>
      </c>
      <c r="K51" s="16">
        <f t="shared" si="29"/>
        <v>-1.5300782844196448E-4</v>
      </c>
      <c r="L51" s="16">
        <f t="shared" si="29"/>
        <v>-2.9889354061585216E-4</v>
      </c>
      <c r="M51" s="16">
        <f t="shared" si="29"/>
        <v>-2.7050191523936284E-5</v>
      </c>
      <c r="N51" s="16">
        <f t="shared" si="29"/>
        <v>2.8832560829106235E-4</v>
      </c>
      <c r="O51" s="16">
        <f t="shared" si="29"/>
        <v>-2.3247000977655308E-4</v>
      </c>
      <c r="P51" s="16">
        <f t="shared" si="29"/>
        <v>-1.2794704698171344E-5</v>
      </c>
      <c r="Q51" s="16">
        <f t="shared" si="29"/>
        <v>8.02127945256359E-5</v>
      </c>
      <c r="R51" s="16">
        <f t="shared" si="29"/>
        <v>8.8116506791635629E-5</v>
      </c>
      <c r="S51" s="16">
        <f t="shared" si="29"/>
        <v>2.6956697793067974E-5</v>
      </c>
      <c r="T51" s="16">
        <f t="shared" si="29"/>
        <v>-8.9885403025347088E-5</v>
      </c>
    </row>
    <row r="52" spans="1:20" ht="15" x14ac:dyDescent="0.25">
      <c r="A52" s="1" t="s">
        <v>84</v>
      </c>
      <c r="B52" s="1" t="s">
        <v>10</v>
      </c>
      <c r="C52" s="38">
        <f>VLOOKUP($A$2,AR2008_Stats!$B$4:$O$15,AR2008_Stats!E$1,FALSE)</f>
        <v>870</v>
      </c>
    </row>
    <row r="53" spans="1:20" ht="15" x14ac:dyDescent="0.25">
      <c r="A53" s="1" t="s">
        <v>83</v>
      </c>
      <c r="B53" s="1" t="s">
        <v>10</v>
      </c>
      <c r="C53" s="74">
        <f>VLOOKUP($A$2,'[1]Total Existing Capacity'!$A$3:$J$14,5,FALSE)+83</f>
        <v>820</v>
      </c>
    </row>
    <row r="55" spans="1:20" x14ac:dyDescent="0.2">
      <c r="A55" s="3" t="s">
        <v>71</v>
      </c>
    </row>
    <row r="56" spans="1:20" x14ac:dyDescent="0.2">
      <c r="A56" s="2" t="s">
        <v>72</v>
      </c>
    </row>
    <row r="57" spans="1:20" x14ac:dyDescent="0.2">
      <c r="A57" s="2" t="s">
        <v>73</v>
      </c>
    </row>
    <row r="59" spans="1:20" x14ac:dyDescent="0.2">
      <c r="A59" s="3" t="s">
        <v>80</v>
      </c>
    </row>
    <row r="60" spans="1:20" ht="15" x14ac:dyDescent="0.25">
      <c r="A60" t="s">
        <v>13</v>
      </c>
      <c r="B60" s="2" t="s">
        <v>97</v>
      </c>
    </row>
    <row r="61" spans="1:20" ht="15" x14ac:dyDescent="0.25">
      <c r="A61" t="s">
        <v>14</v>
      </c>
      <c r="B61" s="2" t="s">
        <v>98</v>
      </c>
    </row>
    <row r="62" spans="1:20" ht="15" x14ac:dyDescent="0.25">
      <c r="A62" t="s">
        <v>15</v>
      </c>
      <c r="B62" s="2" t="s">
        <v>32</v>
      </c>
    </row>
    <row r="63" spans="1:20" ht="15" x14ac:dyDescent="0.25">
      <c r="A63" t="s">
        <v>16</v>
      </c>
      <c r="B63" s="2" t="s">
        <v>99</v>
      </c>
    </row>
    <row r="64" spans="1:20" ht="15" x14ac:dyDescent="0.25">
      <c r="A64" t="s">
        <v>17</v>
      </c>
      <c r="B64" s="2" t="s">
        <v>100</v>
      </c>
    </row>
    <row r="65" spans="1:2" ht="15" x14ac:dyDescent="0.25">
      <c r="A65" t="s">
        <v>18</v>
      </c>
      <c r="B65" s="2" t="s">
        <v>101</v>
      </c>
    </row>
    <row r="66" spans="1:2" ht="15" x14ac:dyDescent="0.25">
      <c r="A66" t="s">
        <v>19</v>
      </c>
      <c r="B66" s="2" t="s">
        <v>102</v>
      </c>
    </row>
    <row r="67" spans="1:2" ht="15" x14ac:dyDescent="0.25">
      <c r="A67" t="s">
        <v>21</v>
      </c>
      <c r="B67" s="2" t="s">
        <v>103</v>
      </c>
    </row>
    <row r="68" spans="1:2" ht="15" x14ac:dyDescent="0.25">
      <c r="A68" t="s">
        <v>22</v>
      </c>
      <c r="B68" s="2" t="s">
        <v>104</v>
      </c>
    </row>
    <row r="69" spans="1:2" ht="15" x14ac:dyDescent="0.25">
      <c r="A69" t="s">
        <v>23</v>
      </c>
      <c r="B69" s="2" t="s">
        <v>105</v>
      </c>
    </row>
    <row r="70" spans="1:2" ht="15" x14ac:dyDescent="0.25">
      <c r="A70" t="s">
        <v>24</v>
      </c>
      <c r="B70" s="2" t="s">
        <v>106</v>
      </c>
    </row>
    <row r="71" spans="1:2" ht="15" x14ac:dyDescent="0.25">
      <c r="A71" t="s">
        <v>20</v>
      </c>
      <c r="B71" s="2" t="s">
        <v>107</v>
      </c>
    </row>
  </sheetData>
  <dataValidations count="4">
    <dataValidation type="list" allowBlank="1" showInputMessage="1" showErrorMessage="1" sqref="A2">
      <formula1>$A$60:$A$71</formula1>
    </dataValidation>
    <dataValidation type="list" allowBlank="1" showInputMessage="1" showErrorMessage="1" sqref="B3">
      <formula1>$A$56:$A$57</formula1>
    </dataValidation>
    <dataValidation type="list" allowBlank="1" showInputMessage="1" showErrorMessage="1" sqref="B13:B17">
      <formula1>$B$60:$B$72</formula1>
    </dataValidation>
    <dataValidation type="list" allowBlank="1" showInputMessage="1" showErrorMessage="1" sqref="B18">
      <formula1>$B$60:$B$71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AD71"/>
  <sheetViews>
    <sheetView workbookViewId="0"/>
  </sheetViews>
  <sheetFormatPr defaultRowHeight="12.75" x14ac:dyDescent="0.2"/>
  <cols>
    <col min="1" max="1" width="66.140625" style="2" customWidth="1"/>
    <col min="2" max="2" width="9.140625" style="2"/>
    <col min="3" max="26" width="11.28515625" style="2" bestFit="1" customWidth="1"/>
    <col min="27" max="27" width="9.85546875" style="2" customWidth="1"/>
    <col min="28" max="253" width="9.140625" style="2"/>
    <col min="254" max="254" width="66.140625" style="2" customWidth="1"/>
    <col min="255" max="257" width="9.140625" style="2"/>
    <col min="258" max="258" width="9.7109375" style="2" customWidth="1"/>
    <col min="259" max="282" width="11.28515625" style="2" bestFit="1" customWidth="1"/>
    <col min="283" max="509" width="9.140625" style="2"/>
    <col min="510" max="510" width="66.140625" style="2" customWidth="1"/>
    <col min="511" max="513" width="9.140625" style="2"/>
    <col min="514" max="514" width="9.7109375" style="2" customWidth="1"/>
    <col min="515" max="538" width="11.28515625" style="2" bestFit="1" customWidth="1"/>
    <col min="539" max="765" width="9.140625" style="2"/>
    <col min="766" max="766" width="66.140625" style="2" customWidth="1"/>
    <col min="767" max="769" width="9.140625" style="2"/>
    <col min="770" max="770" width="9.7109375" style="2" customWidth="1"/>
    <col min="771" max="794" width="11.28515625" style="2" bestFit="1" customWidth="1"/>
    <col min="795" max="1021" width="9.140625" style="2"/>
    <col min="1022" max="1022" width="66.140625" style="2" customWidth="1"/>
    <col min="1023" max="1025" width="9.140625" style="2"/>
    <col min="1026" max="1026" width="9.7109375" style="2" customWidth="1"/>
    <col min="1027" max="1050" width="11.28515625" style="2" bestFit="1" customWidth="1"/>
    <col min="1051" max="1277" width="9.140625" style="2"/>
    <col min="1278" max="1278" width="66.140625" style="2" customWidth="1"/>
    <col min="1279" max="1281" width="9.140625" style="2"/>
    <col min="1282" max="1282" width="9.7109375" style="2" customWidth="1"/>
    <col min="1283" max="1306" width="11.28515625" style="2" bestFit="1" customWidth="1"/>
    <col min="1307" max="1533" width="9.140625" style="2"/>
    <col min="1534" max="1534" width="66.140625" style="2" customWidth="1"/>
    <col min="1535" max="1537" width="9.140625" style="2"/>
    <col min="1538" max="1538" width="9.7109375" style="2" customWidth="1"/>
    <col min="1539" max="1562" width="11.28515625" style="2" bestFit="1" customWidth="1"/>
    <col min="1563" max="1789" width="9.140625" style="2"/>
    <col min="1790" max="1790" width="66.140625" style="2" customWidth="1"/>
    <col min="1791" max="1793" width="9.140625" style="2"/>
    <col min="1794" max="1794" width="9.7109375" style="2" customWidth="1"/>
    <col min="1795" max="1818" width="11.28515625" style="2" bestFit="1" customWidth="1"/>
    <col min="1819" max="2045" width="9.140625" style="2"/>
    <col min="2046" max="2046" width="66.140625" style="2" customWidth="1"/>
    <col min="2047" max="2049" width="9.140625" style="2"/>
    <col min="2050" max="2050" width="9.7109375" style="2" customWidth="1"/>
    <col min="2051" max="2074" width="11.28515625" style="2" bestFit="1" customWidth="1"/>
    <col min="2075" max="2301" width="9.140625" style="2"/>
    <col min="2302" max="2302" width="66.140625" style="2" customWidth="1"/>
    <col min="2303" max="2305" width="9.140625" style="2"/>
    <col min="2306" max="2306" width="9.7109375" style="2" customWidth="1"/>
    <col min="2307" max="2330" width="11.28515625" style="2" bestFit="1" customWidth="1"/>
    <col min="2331" max="2557" width="9.140625" style="2"/>
    <col min="2558" max="2558" width="66.140625" style="2" customWidth="1"/>
    <col min="2559" max="2561" width="9.140625" style="2"/>
    <col min="2562" max="2562" width="9.7109375" style="2" customWidth="1"/>
    <col min="2563" max="2586" width="11.28515625" style="2" bestFit="1" customWidth="1"/>
    <col min="2587" max="2813" width="9.140625" style="2"/>
    <col min="2814" max="2814" width="66.140625" style="2" customWidth="1"/>
    <col min="2815" max="2817" width="9.140625" style="2"/>
    <col min="2818" max="2818" width="9.7109375" style="2" customWidth="1"/>
    <col min="2819" max="2842" width="11.28515625" style="2" bestFit="1" customWidth="1"/>
    <col min="2843" max="3069" width="9.140625" style="2"/>
    <col min="3070" max="3070" width="66.140625" style="2" customWidth="1"/>
    <col min="3071" max="3073" width="9.140625" style="2"/>
    <col min="3074" max="3074" width="9.7109375" style="2" customWidth="1"/>
    <col min="3075" max="3098" width="11.28515625" style="2" bestFit="1" customWidth="1"/>
    <col min="3099" max="3325" width="9.140625" style="2"/>
    <col min="3326" max="3326" width="66.140625" style="2" customWidth="1"/>
    <col min="3327" max="3329" width="9.140625" style="2"/>
    <col min="3330" max="3330" width="9.7109375" style="2" customWidth="1"/>
    <col min="3331" max="3354" width="11.28515625" style="2" bestFit="1" customWidth="1"/>
    <col min="3355" max="3581" width="9.140625" style="2"/>
    <col min="3582" max="3582" width="66.140625" style="2" customWidth="1"/>
    <col min="3583" max="3585" width="9.140625" style="2"/>
    <col min="3586" max="3586" width="9.7109375" style="2" customWidth="1"/>
    <col min="3587" max="3610" width="11.28515625" style="2" bestFit="1" customWidth="1"/>
    <col min="3611" max="3837" width="9.140625" style="2"/>
    <col min="3838" max="3838" width="66.140625" style="2" customWidth="1"/>
    <col min="3839" max="3841" width="9.140625" style="2"/>
    <col min="3842" max="3842" width="9.7109375" style="2" customWidth="1"/>
    <col min="3843" max="3866" width="11.28515625" style="2" bestFit="1" customWidth="1"/>
    <col min="3867" max="4093" width="9.140625" style="2"/>
    <col min="4094" max="4094" width="66.140625" style="2" customWidth="1"/>
    <col min="4095" max="4097" width="9.140625" style="2"/>
    <col min="4098" max="4098" width="9.7109375" style="2" customWidth="1"/>
    <col min="4099" max="4122" width="11.28515625" style="2" bestFit="1" customWidth="1"/>
    <col min="4123" max="4349" width="9.140625" style="2"/>
    <col min="4350" max="4350" width="66.140625" style="2" customWidth="1"/>
    <col min="4351" max="4353" width="9.140625" style="2"/>
    <col min="4354" max="4354" width="9.7109375" style="2" customWidth="1"/>
    <col min="4355" max="4378" width="11.28515625" style="2" bestFit="1" customWidth="1"/>
    <col min="4379" max="4605" width="9.140625" style="2"/>
    <col min="4606" max="4606" width="66.140625" style="2" customWidth="1"/>
    <col min="4607" max="4609" width="9.140625" style="2"/>
    <col min="4610" max="4610" width="9.7109375" style="2" customWidth="1"/>
    <col min="4611" max="4634" width="11.28515625" style="2" bestFit="1" customWidth="1"/>
    <col min="4635" max="4861" width="9.140625" style="2"/>
    <col min="4862" max="4862" width="66.140625" style="2" customWidth="1"/>
    <col min="4863" max="4865" width="9.140625" style="2"/>
    <col min="4866" max="4866" width="9.7109375" style="2" customWidth="1"/>
    <col min="4867" max="4890" width="11.28515625" style="2" bestFit="1" customWidth="1"/>
    <col min="4891" max="5117" width="9.140625" style="2"/>
    <col min="5118" max="5118" width="66.140625" style="2" customWidth="1"/>
    <col min="5119" max="5121" width="9.140625" style="2"/>
    <col min="5122" max="5122" width="9.7109375" style="2" customWidth="1"/>
    <col min="5123" max="5146" width="11.28515625" style="2" bestFit="1" customWidth="1"/>
    <col min="5147" max="5373" width="9.140625" style="2"/>
    <col min="5374" max="5374" width="66.140625" style="2" customWidth="1"/>
    <col min="5375" max="5377" width="9.140625" style="2"/>
    <col min="5378" max="5378" width="9.7109375" style="2" customWidth="1"/>
    <col min="5379" max="5402" width="11.28515625" style="2" bestFit="1" customWidth="1"/>
    <col min="5403" max="5629" width="9.140625" style="2"/>
    <col min="5630" max="5630" width="66.140625" style="2" customWidth="1"/>
    <col min="5631" max="5633" width="9.140625" style="2"/>
    <col min="5634" max="5634" width="9.7109375" style="2" customWidth="1"/>
    <col min="5635" max="5658" width="11.28515625" style="2" bestFit="1" customWidth="1"/>
    <col min="5659" max="5885" width="9.140625" style="2"/>
    <col min="5886" max="5886" width="66.140625" style="2" customWidth="1"/>
    <col min="5887" max="5889" width="9.140625" style="2"/>
    <col min="5890" max="5890" width="9.7109375" style="2" customWidth="1"/>
    <col min="5891" max="5914" width="11.28515625" style="2" bestFit="1" customWidth="1"/>
    <col min="5915" max="6141" width="9.140625" style="2"/>
    <col min="6142" max="6142" width="66.140625" style="2" customWidth="1"/>
    <col min="6143" max="6145" width="9.140625" style="2"/>
    <col min="6146" max="6146" width="9.7109375" style="2" customWidth="1"/>
    <col min="6147" max="6170" width="11.28515625" style="2" bestFit="1" customWidth="1"/>
    <col min="6171" max="6397" width="9.140625" style="2"/>
    <col min="6398" max="6398" width="66.140625" style="2" customWidth="1"/>
    <col min="6399" max="6401" width="9.140625" style="2"/>
    <col min="6402" max="6402" width="9.7109375" style="2" customWidth="1"/>
    <col min="6403" max="6426" width="11.28515625" style="2" bestFit="1" customWidth="1"/>
    <col min="6427" max="6653" width="9.140625" style="2"/>
    <col min="6654" max="6654" width="66.140625" style="2" customWidth="1"/>
    <col min="6655" max="6657" width="9.140625" style="2"/>
    <col min="6658" max="6658" width="9.7109375" style="2" customWidth="1"/>
    <col min="6659" max="6682" width="11.28515625" style="2" bestFit="1" customWidth="1"/>
    <col min="6683" max="6909" width="9.140625" style="2"/>
    <col min="6910" max="6910" width="66.140625" style="2" customWidth="1"/>
    <col min="6911" max="6913" width="9.140625" style="2"/>
    <col min="6914" max="6914" width="9.7109375" style="2" customWidth="1"/>
    <col min="6915" max="6938" width="11.28515625" style="2" bestFit="1" customWidth="1"/>
    <col min="6939" max="7165" width="9.140625" style="2"/>
    <col min="7166" max="7166" width="66.140625" style="2" customWidth="1"/>
    <col min="7167" max="7169" width="9.140625" style="2"/>
    <col min="7170" max="7170" width="9.7109375" style="2" customWidth="1"/>
    <col min="7171" max="7194" width="11.28515625" style="2" bestFit="1" customWidth="1"/>
    <col min="7195" max="7421" width="9.140625" style="2"/>
    <col min="7422" max="7422" width="66.140625" style="2" customWidth="1"/>
    <col min="7423" max="7425" width="9.140625" style="2"/>
    <col min="7426" max="7426" width="9.7109375" style="2" customWidth="1"/>
    <col min="7427" max="7450" width="11.28515625" style="2" bestFit="1" customWidth="1"/>
    <col min="7451" max="7677" width="9.140625" style="2"/>
    <col min="7678" max="7678" width="66.140625" style="2" customWidth="1"/>
    <col min="7679" max="7681" width="9.140625" style="2"/>
    <col min="7682" max="7682" width="9.7109375" style="2" customWidth="1"/>
    <col min="7683" max="7706" width="11.28515625" style="2" bestFit="1" customWidth="1"/>
    <col min="7707" max="7933" width="9.140625" style="2"/>
    <col min="7934" max="7934" width="66.140625" style="2" customWidth="1"/>
    <col min="7935" max="7937" width="9.140625" style="2"/>
    <col min="7938" max="7938" width="9.7109375" style="2" customWidth="1"/>
    <col min="7939" max="7962" width="11.28515625" style="2" bestFit="1" customWidth="1"/>
    <col min="7963" max="8189" width="9.140625" style="2"/>
    <col min="8190" max="8190" width="66.140625" style="2" customWidth="1"/>
    <col min="8191" max="8193" width="9.140625" style="2"/>
    <col min="8194" max="8194" width="9.7109375" style="2" customWidth="1"/>
    <col min="8195" max="8218" width="11.28515625" style="2" bestFit="1" customWidth="1"/>
    <col min="8219" max="8445" width="9.140625" style="2"/>
    <col min="8446" max="8446" width="66.140625" style="2" customWidth="1"/>
    <col min="8447" max="8449" width="9.140625" style="2"/>
    <col min="8450" max="8450" width="9.7109375" style="2" customWidth="1"/>
    <col min="8451" max="8474" width="11.28515625" style="2" bestFit="1" customWidth="1"/>
    <col min="8475" max="8701" width="9.140625" style="2"/>
    <col min="8702" max="8702" width="66.140625" style="2" customWidth="1"/>
    <col min="8703" max="8705" width="9.140625" style="2"/>
    <col min="8706" max="8706" width="9.7109375" style="2" customWidth="1"/>
    <col min="8707" max="8730" width="11.28515625" style="2" bestFit="1" customWidth="1"/>
    <col min="8731" max="8957" width="9.140625" style="2"/>
    <col min="8958" max="8958" width="66.140625" style="2" customWidth="1"/>
    <col min="8959" max="8961" width="9.140625" style="2"/>
    <col min="8962" max="8962" width="9.7109375" style="2" customWidth="1"/>
    <col min="8963" max="8986" width="11.28515625" style="2" bestFit="1" customWidth="1"/>
    <col min="8987" max="9213" width="9.140625" style="2"/>
    <col min="9214" max="9214" width="66.140625" style="2" customWidth="1"/>
    <col min="9215" max="9217" width="9.140625" style="2"/>
    <col min="9218" max="9218" width="9.7109375" style="2" customWidth="1"/>
    <col min="9219" max="9242" width="11.28515625" style="2" bestFit="1" customWidth="1"/>
    <col min="9243" max="9469" width="9.140625" style="2"/>
    <col min="9470" max="9470" width="66.140625" style="2" customWidth="1"/>
    <col min="9471" max="9473" width="9.140625" style="2"/>
    <col min="9474" max="9474" width="9.7109375" style="2" customWidth="1"/>
    <col min="9475" max="9498" width="11.28515625" style="2" bestFit="1" customWidth="1"/>
    <col min="9499" max="9725" width="9.140625" style="2"/>
    <col min="9726" max="9726" width="66.140625" style="2" customWidth="1"/>
    <col min="9727" max="9729" width="9.140625" style="2"/>
    <col min="9730" max="9730" width="9.7109375" style="2" customWidth="1"/>
    <col min="9731" max="9754" width="11.28515625" style="2" bestFit="1" customWidth="1"/>
    <col min="9755" max="9981" width="9.140625" style="2"/>
    <col min="9982" max="9982" width="66.140625" style="2" customWidth="1"/>
    <col min="9983" max="9985" width="9.140625" style="2"/>
    <col min="9986" max="9986" width="9.7109375" style="2" customWidth="1"/>
    <col min="9987" max="10010" width="11.28515625" style="2" bestFit="1" customWidth="1"/>
    <col min="10011" max="10237" width="9.140625" style="2"/>
    <col min="10238" max="10238" width="66.140625" style="2" customWidth="1"/>
    <col min="10239" max="10241" width="9.140625" style="2"/>
    <col min="10242" max="10242" width="9.7109375" style="2" customWidth="1"/>
    <col min="10243" max="10266" width="11.28515625" style="2" bestFit="1" customWidth="1"/>
    <col min="10267" max="10493" width="9.140625" style="2"/>
    <col min="10494" max="10494" width="66.140625" style="2" customWidth="1"/>
    <col min="10495" max="10497" width="9.140625" style="2"/>
    <col min="10498" max="10498" width="9.7109375" style="2" customWidth="1"/>
    <col min="10499" max="10522" width="11.28515625" style="2" bestFit="1" customWidth="1"/>
    <col min="10523" max="10749" width="9.140625" style="2"/>
    <col min="10750" max="10750" width="66.140625" style="2" customWidth="1"/>
    <col min="10751" max="10753" width="9.140625" style="2"/>
    <col min="10754" max="10754" width="9.7109375" style="2" customWidth="1"/>
    <col min="10755" max="10778" width="11.28515625" style="2" bestFit="1" customWidth="1"/>
    <col min="10779" max="11005" width="9.140625" style="2"/>
    <col min="11006" max="11006" width="66.140625" style="2" customWidth="1"/>
    <col min="11007" max="11009" width="9.140625" style="2"/>
    <col min="11010" max="11010" width="9.7109375" style="2" customWidth="1"/>
    <col min="11011" max="11034" width="11.28515625" style="2" bestFit="1" customWidth="1"/>
    <col min="11035" max="11261" width="9.140625" style="2"/>
    <col min="11262" max="11262" width="66.140625" style="2" customWidth="1"/>
    <col min="11263" max="11265" width="9.140625" style="2"/>
    <col min="11266" max="11266" width="9.7109375" style="2" customWidth="1"/>
    <col min="11267" max="11290" width="11.28515625" style="2" bestFit="1" customWidth="1"/>
    <col min="11291" max="11517" width="9.140625" style="2"/>
    <col min="11518" max="11518" width="66.140625" style="2" customWidth="1"/>
    <col min="11519" max="11521" width="9.140625" style="2"/>
    <col min="11522" max="11522" width="9.7109375" style="2" customWidth="1"/>
    <col min="11523" max="11546" width="11.28515625" style="2" bestFit="1" customWidth="1"/>
    <col min="11547" max="11773" width="9.140625" style="2"/>
    <col min="11774" max="11774" width="66.140625" style="2" customWidth="1"/>
    <col min="11775" max="11777" width="9.140625" style="2"/>
    <col min="11778" max="11778" width="9.7109375" style="2" customWidth="1"/>
    <col min="11779" max="11802" width="11.28515625" style="2" bestFit="1" customWidth="1"/>
    <col min="11803" max="12029" width="9.140625" style="2"/>
    <col min="12030" max="12030" width="66.140625" style="2" customWidth="1"/>
    <col min="12031" max="12033" width="9.140625" style="2"/>
    <col min="12034" max="12034" width="9.7109375" style="2" customWidth="1"/>
    <col min="12035" max="12058" width="11.28515625" style="2" bestFit="1" customWidth="1"/>
    <col min="12059" max="12285" width="9.140625" style="2"/>
    <col min="12286" max="12286" width="66.140625" style="2" customWidth="1"/>
    <col min="12287" max="12289" width="9.140625" style="2"/>
    <col min="12290" max="12290" width="9.7109375" style="2" customWidth="1"/>
    <col min="12291" max="12314" width="11.28515625" style="2" bestFit="1" customWidth="1"/>
    <col min="12315" max="12541" width="9.140625" style="2"/>
    <col min="12542" max="12542" width="66.140625" style="2" customWidth="1"/>
    <col min="12543" max="12545" width="9.140625" style="2"/>
    <col min="12546" max="12546" width="9.7109375" style="2" customWidth="1"/>
    <col min="12547" max="12570" width="11.28515625" style="2" bestFit="1" customWidth="1"/>
    <col min="12571" max="12797" width="9.140625" style="2"/>
    <col min="12798" max="12798" width="66.140625" style="2" customWidth="1"/>
    <col min="12799" max="12801" width="9.140625" style="2"/>
    <col min="12802" max="12802" width="9.7109375" style="2" customWidth="1"/>
    <col min="12803" max="12826" width="11.28515625" style="2" bestFit="1" customWidth="1"/>
    <col min="12827" max="13053" width="9.140625" style="2"/>
    <col min="13054" max="13054" width="66.140625" style="2" customWidth="1"/>
    <col min="13055" max="13057" width="9.140625" style="2"/>
    <col min="13058" max="13058" width="9.7109375" style="2" customWidth="1"/>
    <col min="13059" max="13082" width="11.28515625" style="2" bestFit="1" customWidth="1"/>
    <col min="13083" max="13309" width="9.140625" style="2"/>
    <col min="13310" max="13310" width="66.140625" style="2" customWidth="1"/>
    <col min="13311" max="13313" width="9.140625" style="2"/>
    <col min="13314" max="13314" width="9.7109375" style="2" customWidth="1"/>
    <col min="13315" max="13338" width="11.28515625" style="2" bestFit="1" customWidth="1"/>
    <col min="13339" max="13565" width="9.140625" style="2"/>
    <col min="13566" max="13566" width="66.140625" style="2" customWidth="1"/>
    <col min="13567" max="13569" width="9.140625" style="2"/>
    <col min="13570" max="13570" width="9.7109375" style="2" customWidth="1"/>
    <col min="13571" max="13594" width="11.28515625" style="2" bestFit="1" customWidth="1"/>
    <col min="13595" max="13821" width="9.140625" style="2"/>
    <col min="13822" max="13822" width="66.140625" style="2" customWidth="1"/>
    <col min="13823" max="13825" width="9.140625" style="2"/>
    <col min="13826" max="13826" width="9.7109375" style="2" customWidth="1"/>
    <col min="13827" max="13850" width="11.28515625" style="2" bestFit="1" customWidth="1"/>
    <col min="13851" max="14077" width="9.140625" style="2"/>
    <col min="14078" max="14078" width="66.140625" style="2" customWidth="1"/>
    <col min="14079" max="14081" width="9.140625" style="2"/>
    <col min="14082" max="14082" width="9.7109375" style="2" customWidth="1"/>
    <col min="14083" max="14106" width="11.28515625" style="2" bestFit="1" customWidth="1"/>
    <col min="14107" max="14333" width="9.140625" style="2"/>
    <col min="14334" max="14334" width="66.140625" style="2" customWidth="1"/>
    <col min="14335" max="14337" width="9.140625" style="2"/>
    <col min="14338" max="14338" width="9.7109375" style="2" customWidth="1"/>
    <col min="14339" max="14362" width="11.28515625" style="2" bestFit="1" customWidth="1"/>
    <col min="14363" max="14589" width="9.140625" style="2"/>
    <col min="14590" max="14590" width="66.140625" style="2" customWidth="1"/>
    <col min="14591" max="14593" width="9.140625" style="2"/>
    <col min="14594" max="14594" width="9.7109375" style="2" customWidth="1"/>
    <col min="14595" max="14618" width="11.28515625" style="2" bestFit="1" customWidth="1"/>
    <col min="14619" max="14845" width="9.140625" style="2"/>
    <col min="14846" max="14846" width="66.140625" style="2" customWidth="1"/>
    <col min="14847" max="14849" width="9.140625" style="2"/>
    <col min="14850" max="14850" width="9.7109375" style="2" customWidth="1"/>
    <col min="14851" max="14874" width="11.28515625" style="2" bestFit="1" customWidth="1"/>
    <col min="14875" max="15101" width="9.140625" style="2"/>
    <col min="15102" max="15102" width="66.140625" style="2" customWidth="1"/>
    <col min="15103" max="15105" width="9.140625" style="2"/>
    <col min="15106" max="15106" width="9.7109375" style="2" customWidth="1"/>
    <col min="15107" max="15130" width="11.28515625" style="2" bestFit="1" customWidth="1"/>
    <col min="15131" max="15357" width="9.140625" style="2"/>
    <col min="15358" max="15358" width="66.140625" style="2" customWidth="1"/>
    <col min="15359" max="15361" width="9.140625" style="2"/>
    <col min="15362" max="15362" width="9.7109375" style="2" customWidth="1"/>
    <col min="15363" max="15386" width="11.28515625" style="2" bestFit="1" customWidth="1"/>
    <col min="15387" max="15613" width="9.140625" style="2"/>
    <col min="15614" max="15614" width="66.140625" style="2" customWidth="1"/>
    <col min="15615" max="15617" width="9.140625" style="2"/>
    <col min="15618" max="15618" width="9.7109375" style="2" customWidth="1"/>
    <col min="15619" max="15642" width="11.28515625" style="2" bestFit="1" customWidth="1"/>
    <col min="15643" max="15869" width="9.140625" style="2"/>
    <col min="15870" max="15870" width="66.140625" style="2" customWidth="1"/>
    <col min="15871" max="15873" width="9.140625" style="2"/>
    <col min="15874" max="15874" width="9.7109375" style="2" customWidth="1"/>
    <col min="15875" max="15898" width="11.28515625" style="2" bestFit="1" customWidth="1"/>
    <col min="15899" max="16125" width="9.140625" style="2"/>
    <col min="16126" max="16126" width="66.140625" style="2" customWidth="1"/>
    <col min="16127" max="16129" width="9.140625" style="2"/>
    <col min="16130" max="16130" width="9.7109375" style="2" customWidth="1"/>
    <col min="16131" max="16154" width="11.28515625" style="2" bestFit="1" customWidth="1"/>
    <col min="16155" max="16384" width="9.140625" style="2"/>
  </cols>
  <sheetData>
    <row r="1" spans="1:30" ht="20.25" thickBot="1" x14ac:dyDescent="0.35">
      <c r="A1" s="20" t="s">
        <v>117</v>
      </c>
    </row>
    <row r="2" spans="1:30" ht="15.75" thickTop="1" x14ac:dyDescent="0.25">
      <c r="A2" s="21" t="s">
        <v>22</v>
      </c>
      <c r="B2" s="31" t="s">
        <v>104</v>
      </c>
      <c r="C2" s="1">
        <v>2007</v>
      </c>
      <c r="D2" s="1">
        <v>2008</v>
      </c>
      <c r="E2" s="1">
        <v>2009</v>
      </c>
      <c r="F2" s="1">
        <v>2010</v>
      </c>
      <c r="G2" s="1">
        <v>2011</v>
      </c>
      <c r="H2" s="1">
        <v>2012</v>
      </c>
      <c r="I2" s="1">
        <v>2013</v>
      </c>
      <c r="J2" s="1">
        <v>2014</v>
      </c>
      <c r="K2" s="1">
        <v>2015</v>
      </c>
      <c r="L2" s="1">
        <v>2016</v>
      </c>
      <c r="M2" s="1">
        <v>2017</v>
      </c>
      <c r="N2" s="1">
        <v>2018</v>
      </c>
      <c r="O2" s="1">
        <v>2019</v>
      </c>
      <c r="P2" s="1">
        <v>2020</v>
      </c>
      <c r="Q2" s="1">
        <v>2021</v>
      </c>
      <c r="R2" s="1">
        <v>2022</v>
      </c>
      <c r="S2" s="1">
        <v>2023</v>
      </c>
      <c r="T2" s="1">
        <v>2024</v>
      </c>
      <c r="U2" s="1">
        <v>2025</v>
      </c>
      <c r="V2" s="1">
        <v>2026</v>
      </c>
      <c r="W2" s="1">
        <v>2027</v>
      </c>
      <c r="X2" s="1">
        <v>2028</v>
      </c>
      <c r="Y2" s="1">
        <v>2029</v>
      </c>
      <c r="Z2" s="1">
        <v>2030</v>
      </c>
      <c r="AA2" s="1">
        <v>2031</v>
      </c>
      <c r="AB2" s="2">
        <v>2040</v>
      </c>
      <c r="AC2" s="2">
        <v>2050</v>
      </c>
      <c r="AD2" s="2">
        <v>2060</v>
      </c>
    </row>
    <row r="3" spans="1:30" ht="15" x14ac:dyDescent="0.25">
      <c r="A3" s="3" t="s">
        <v>0</v>
      </c>
      <c r="B3" s="31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0" ht="15" x14ac:dyDescent="0.25">
      <c r="A4" s="1" t="s">
        <v>38</v>
      </c>
      <c r="C4" s="24"/>
      <c r="D4" s="32">
        <f t="shared" ref="D4:U4" si="0">IF($B$3="AR 2008",D41,D43)</f>
        <v>5.8259410213377993E-2</v>
      </c>
      <c r="E4" s="32">
        <f t="shared" si="0"/>
        <v>4.84821024014499E-2</v>
      </c>
      <c r="F4" s="32">
        <f t="shared" si="0"/>
        <v>4.1486603284356161E-2</v>
      </c>
      <c r="G4" s="32">
        <f t="shared" si="0"/>
        <v>4.1701244813278082E-2</v>
      </c>
      <c r="H4" s="32">
        <f t="shared" si="0"/>
        <v>4.1625174268073994E-2</v>
      </c>
      <c r="I4" s="32">
        <f t="shared" si="0"/>
        <v>4.1682600382409118E-2</v>
      </c>
      <c r="J4" s="32">
        <f t="shared" si="0"/>
        <v>4.1666666666666741E-2</v>
      </c>
      <c r="K4" s="32">
        <f t="shared" si="0"/>
        <v>4.1585903083700471E-2</v>
      </c>
      <c r="L4" s="32">
        <f t="shared" si="0"/>
        <v>4.1786499746235828E-2</v>
      </c>
      <c r="M4" s="32">
        <f t="shared" si="0"/>
        <v>4.1734329327703712E-2</v>
      </c>
      <c r="N4" s="32">
        <f t="shared" si="0"/>
        <v>4.1777084957131727E-2</v>
      </c>
      <c r="O4" s="32">
        <f t="shared" si="0"/>
        <v>4.1747718090677788E-2</v>
      </c>
      <c r="P4" s="32">
        <f t="shared" si="0"/>
        <v>4.1654696926170631E-2</v>
      </c>
      <c r="Q4" s="32">
        <f t="shared" si="0"/>
        <v>4.1781577495863198E-2</v>
      </c>
      <c r="R4" s="32">
        <f t="shared" si="0"/>
        <v>4.1826604897418962E-2</v>
      </c>
      <c r="S4" s="32">
        <f t="shared" si="0"/>
        <v>4.1799009020454747E-2</v>
      </c>
      <c r="T4" s="32">
        <f t="shared" si="0"/>
        <v>4.1829268292682853E-2</v>
      </c>
      <c r="U4" s="32">
        <f t="shared" si="0"/>
        <v>4.1788598852861902E-2</v>
      </c>
      <c r="V4" s="32">
        <f>U4</f>
        <v>4.1788598852861902E-2</v>
      </c>
      <c r="W4" s="32">
        <f t="shared" ref="W4:Z4" si="1">V4</f>
        <v>4.1788598852861902E-2</v>
      </c>
      <c r="X4" s="32">
        <f t="shared" si="1"/>
        <v>4.1788598852861902E-2</v>
      </c>
      <c r="Y4" s="32">
        <f t="shared" si="1"/>
        <v>4.1788598852861902E-2</v>
      </c>
      <c r="Z4" s="32">
        <f t="shared" si="1"/>
        <v>4.1788598852861902E-2</v>
      </c>
      <c r="AA4" s="4">
        <f>AB4</f>
        <v>0.05</v>
      </c>
      <c r="AB4" s="18">
        <f>SUMIF(PoolPlan_EnergyProj!$Q$1:$AB$1,B2,PoolPlan_EnergyProj!$Q$29:$AB$29)</f>
        <v>0.05</v>
      </c>
      <c r="AC4" s="18">
        <f>SUMIF(PoolPlan_EnergyProj!$Q$1:$AB$1,B2,PoolPlan_EnergyProj!$Q$30:$AB$30)</f>
        <v>4.1089108910890904E-2</v>
      </c>
      <c r="AD4" s="86">
        <v>0</v>
      </c>
    </row>
    <row r="5" spans="1:30" ht="15" x14ac:dyDescent="0.25">
      <c r="A5" s="1" t="s">
        <v>115</v>
      </c>
      <c r="B5" s="5" t="s">
        <v>1</v>
      </c>
      <c r="C5" s="23">
        <f>C42*(1-C7)*(1-C10)</f>
        <v>3545.35</v>
      </c>
      <c r="D5" s="7">
        <f t="shared" ref="D5:AA5" si="2">C5*(1+D4)</f>
        <v>3751.8999999999996</v>
      </c>
      <c r="E5" s="7">
        <f t="shared" si="2"/>
        <v>3933.7999999999993</v>
      </c>
      <c r="F5" s="7">
        <f t="shared" si="2"/>
        <v>4096.9999999999991</v>
      </c>
      <c r="G5" s="7">
        <f t="shared" si="2"/>
        <v>4267.8499999999995</v>
      </c>
      <c r="H5" s="7">
        <f t="shared" si="2"/>
        <v>4445.4999999999991</v>
      </c>
      <c r="I5" s="7">
        <f t="shared" si="2"/>
        <v>4630.7999999999984</v>
      </c>
      <c r="J5" s="7">
        <f t="shared" si="2"/>
        <v>4823.7499999999991</v>
      </c>
      <c r="K5" s="7">
        <f t="shared" si="2"/>
        <v>5024.3499999999995</v>
      </c>
      <c r="L5" s="7">
        <f t="shared" si="2"/>
        <v>5234.2999999999993</v>
      </c>
      <c r="M5" s="7">
        <f t="shared" si="2"/>
        <v>5452.7499999999991</v>
      </c>
      <c r="N5" s="7">
        <f t="shared" si="2"/>
        <v>5680.5499999999993</v>
      </c>
      <c r="O5" s="7">
        <f t="shared" si="2"/>
        <v>5917.6999999999989</v>
      </c>
      <c r="P5" s="7">
        <f t="shared" si="2"/>
        <v>6164.1999999999989</v>
      </c>
      <c r="Q5" s="7">
        <f t="shared" si="2"/>
        <v>6421.7499999999991</v>
      </c>
      <c r="R5" s="7">
        <f t="shared" si="2"/>
        <v>6690.3499999999995</v>
      </c>
      <c r="S5" s="7">
        <f t="shared" si="2"/>
        <v>6969.9999999999991</v>
      </c>
      <c r="T5" s="7">
        <f t="shared" si="2"/>
        <v>7261.5499999999984</v>
      </c>
      <c r="U5" s="7">
        <f t="shared" si="2"/>
        <v>7564.9999999999973</v>
      </c>
      <c r="V5" s="7">
        <f t="shared" si="2"/>
        <v>7881.1307503218977</v>
      </c>
      <c r="W5" s="7">
        <f t="shared" si="2"/>
        <v>8210.4721617540545</v>
      </c>
      <c r="X5" s="7">
        <f t="shared" si="2"/>
        <v>8553.5762893141837</v>
      </c>
      <c r="Y5" s="7">
        <f t="shared" si="2"/>
        <v>8911.0182576256848</v>
      </c>
      <c r="Z5" s="7">
        <f t="shared" si="2"/>
        <v>9283.3972249641338</v>
      </c>
      <c r="AA5" s="7">
        <f t="shared" si="2"/>
        <v>9747.5670862123407</v>
      </c>
      <c r="AB5" s="7">
        <f>AA5*(1+AB4)^9</f>
        <v>15121.67585798469</v>
      </c>
      <c r="AC5" s="7">
        <f>AB5*(1+AC4)^10</f>
        <v>22619.28938495697</v>
      </c>
      <c r="AD5" s="7">
        <f>AC5*(1+AD4)^10</f>
        <v>22619.28938495697</v>
      </c>
    </row>
    <row r="6" spans="1:30" ht="15" x14ac:dyDescent="0.25">
      <c r="A6" s="3" t="s">
        <v>2</v>
      </c>
      <c r="B6" s="5"/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30" ht="15" x14ac:dyDescent="0.25">
      <c r="A7" s="1" t="s">
        <v>3</v>
      </c>
      <c r="C7" s="71">
        <v>0</v>
      </c>
      <c r="D7" s="33">
        <f t="shared" ref="D7:Y7" si="3">C7</f>
        <v>0</v>
      </c>
      <c r="E7" s="33">
        <f t="shared" si="3"/>
        <v>0</v>
      </c>
      <c r="F7" s="33">
        <f t="shared" si="3"/>
        <v>0</v>
      </c>
      <c r="G7" s="33">
        <f t="shared" si="3"/>
        <v>0</v>
      </c>
      <c r="H7" s="33">
        <f t="shared" si="3"/>
        <v>0</v>
      </c>
      <c r="I7" s="33">
        <f t="shared" si="3"/>
        <v>0</v>
      </c>
      <c r="J7" s="33">
        <f t="shared" si="3"/>
        <v>0</v>
      </c>
      <c r="K7" s="33">
        <f t="shared" si="3"/>
        <v>0</v>
      </c>
      <c r="L7" s="33">
        <f t="shared" si="3"/>
        <v>0</v>
      </c>
      <c r="M7" s="33">
        <f t="shared" si="3"/>
        <v>0</v>
      </c>
      <c r="N7" s="33">
        <f t="shared" si="3"/>
        <v>0</v>
      </c>
      <c r="O7" s="33">
        <f t="shared" si="3"/>
        <v>0</v>
      </c>
      <c r="P7" s="33">
        <f t="shared" si="3"/>
        <v>0</v>
      </c>
      <c r="Q7" s="33">
        <f t="shared" si="3"/>
        <v>0</v>
      </c>
      <c r="R7" s="33">
        <f t="shared" si="3"/>
        <v>0</v>
      </c>
      <c r="S7" s="33">
        <f t="shared" si="3"/>
        <v>0</v>
      </c>
      <c r="T7" s="33">
        <f t="shared" si="3"/>
        <v>0</v>
      </c>
      <c r="U7" s="33">
        <f t="shared" si="3"/>
        <v>0</v>
      </c>
      <c r="V7" s="33">
        <f t="shared" si="3"/>
        <v>0</v>
      </c>
      <c r="W7" s="33">
        <f t="shared" si="3"/>
        <v>0</v>
      </c>
      <c r="X7" s="33">
        <f t="shared" si="3"/>
        <v>0</v>
      </c>
      <c r="Y7" s="33">
        <f t="shared" si="3"/>
        <v>0</v>
      </c>
      <c r="Z7" s="33">
        <f>Y7</f>
        <v>0</v>
      </c>
      <c r="AA7" s="33">
        <f t="shared" ref="AA7:AC7" si="4">Z7</f>
        <v>0</v>
      </c>
      <c r="AB7" s="33">
        <f t="shared" si="4"/>
        <v>0</v>
      </c>
      <c r="AC7" s="33">
        <f t="shared" si="4"/>
        <v>0</v>
      </c>
    </row>
    <row r="8" spans="1:30" ht="15" x14ac:dyDescent="0.25">
      <c r="A8" s="1" t="s">
        <v>96</v>
      </c>
      <c r="B8" s="5" t="s">
        <v>1</v>
      </c>
      <c r="C8" s="8">
        <f t="shared" ref="C8:AC8" si="5">C5/(1-C7)</f>
        <v>3545.35</v>
      </c>
      <c r="D8" s="8">
        <f t="shared" si="5"/>
        <v>3751.8999999999996</v>
      </c>
      <c r="E8" s="8">
        <f t="shared" si="5"/>
        <v>3933.7999999999993</v>
      </c>
      <c r="F8" s="8">
        <f t="shared" si="5"/>
        <v>4096.9999999999991</v>
      </c>
      <c r="G8" s="8">
        <f t="shared" si="5"/>
        <v>4267.8499999999995</v>
      </c>
      <c r="H8" s="8">
        <f t="shared" si="5"/>
        <v>4445.4999999999991</v>
      </c>
      <c r="I8" s="8">
        <f t="shared" si="5"/>
        <v>4630.7999999999984</v>
      </c>
      <c r="J8" s="8">
        <f t="shared" si="5"/>
        <v>4823.7499999999991</v>
      </c>
      <c r="K8" s="8">
        <f t="shared" si="5"/>
        <v>5024.3499999999995</v>
      </c>
      <c r="L8" s="8">
        <f t="shared" si="5"/>
        <v>5234.2999999999993</v>
      </c>
      <c r="M8" s="8">
        <f t="shared" si="5"/>
        <v>5452.7499999999991</v>
      </c>
      <c r="N8" s="8">
        <f t="shared" si="5"/>
        <v>5680.5499999999993</v>
      </c>
      <c r="O8" s="8">
        <f t="shared" si="5"/>
        <v>5917.6999999999989</v>
      </c>
      <c r="P8" s="8">
        <f t="shared" si="5"/>
        <v>6164.1999999999989</v>
      </c>
      <c r="Q8" s="8">
        <f t="shared" si="5"/>
        <v>6421.7499999999991</v>
      </c>
      <c r="R8" s="8">
        <f t="shared" si="5"/>
        <v>6690.3499999999995</v>
      </c>
      <c r="S8" s="8">
        <f t="shared" si="5"/>
        <v>6969.9999999999991</v>
      </c>
      <c r="T8" s="8">
        <f t="shared" si="5"/>
        <v>7261.5499999999984</v>
      </c>
      <c r="U8" s="8">
        <f t="shared" si="5"/>
        <v>7564.9999999999973</v>
      </c>
      <c r="V8" s="8">
        <f t="shared" si="5"/>
        <v>7881.1307503218977</v>
      </c>
      <c r="W8" s="8">
        <f t="shared" si="5"/>
        <v>8210.4721617540545</v>
      </c>
      <c r="X8" s="8">
        <f t="shared" si="5"/>
        <v>8553.5762893141837</v>
      </c>
      <c r="Y8" s="8">
        <f t="shared" si="5"/>
        <v>8911.0182576256848</v>
      </c>
      <c r="Z8" s="8">
        <f t="shared" si="5"/>
        <v>9283.3972249641338</v>
      </c>
      <c r="AA8" s="8">
        <f t="shared" si="5"/>
        <v>9747.5670862123407</v>
      </c>
      <c r="AB8" s="8">
        <f t="shared" si="5"/>
        <v>15121.67585798469</v>
      </c>
      <c r="AC8" s="8">
        <f t="shared" si="5"/>
        <v>22619.28938495697</v>
      </c>
    </row>
    <row r="9" spans="1:30" ht="15" x14ac:dyDescent="0.25">
      <c r="A9" s="3" t="s">
        <v>4</v>
      </c>
      <c r="B9" s="5"/>
      <c r="C9" s="11"/>
      <c r="D9" s="11"/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30" ht="15" x14ac:dyDescent="0.25">
      <c r="A10" s="1" t="s">
        <v>5</v>
      </c>
      <c r="C10" s="26">
        <v>0.15</v>
      </c>
      <c r="D10" s="32">
        <f>C10</f>
        <v>0.15</v>
      </c>
      <c r="E10" s="32">
        <f t="shared" ref="E10:AC10" si="6">D10</f>
        <v>0.15</v>
      </c>
      <c r="F10" s="32">
        <f t="shared" si="6"/>
        <v>0.15</v>
      </c>
      <c r="G10" s="32">
        <f t="shared" si="6"/>
        <v>0.15</v>
      </c>
      <c r="H10" s="32">
        <f t="shared" si="6"/>
        <v>0.15</v>
      </c>
      <c r="I10" s="32">
        <f t="shared" si="6"/>
        <v>0.15</v>
      </c>
      <c r="J10" s="32">
        <f t="shared" si="6"/>
        <v>0.15</v>
      </c>
      <c r="K10" s="32">
        <f t="shared" si="6"/>
        <v>0.15</v>
      </c>
      <c r="L10" s="32">
        <f t="shared" si="6"/>
        <v>0.15</v>
      </c>
      <c r="M10" s="32">
        <f t="shared" si="6"/>
        <v>0.15</v>
      </c>
      <c r="N10" s="32">
        <f t="shared" si="6"/>
        <v>0.15</v>
      </c>
      <c r="O10" s="32">
        <f t="shared" si="6"/>
        <v>0.15</v>
      </c>
      <c r="P10" s="32">
        <f t="shared" si="6"/>
        <v>0.15</v>
      </c>
      <c r="Q10" s="32">
        <f t="shared" si="6"/>
        <v>0.15</v>
      </c>
      <c r="R10" s="32">
        <f t="shared" si="6"/>
        <v>0.15</v>
      </c>
      <c r="S10" s="32">
        <f t="shared" si="6"/>
        <v>0.15</v>
      </c>
      <c r="T10" s="32">
        <f t="shared" si="6"/>
        <v>0.15</v>
      </c>
      <c r="U10" s="32">
        <f t="shared" si="6"/>
        <v>0.15</v>
      </c>
      <c r="V10" s="32">
        <f t="shared" si="6"/>
        <v>0.15</v>
      </c>
      <c r="W10" s="32">
        <f t="shared" si="6"/>
        <v>0.15</v>
      </c>
      <c r="X10" s="32">
        <f t="shared" si="6"/>
        <v>0.15</v>
      </c>
      <c r="Y10" s="32">
        <f t="shared" si="6"/>
        <v>0.15</v>
      </c>
      <c r="Z10" s="32">
        <f t="shared" si="6"/>
        <v>0.15</v>
      </c>
      <c r="AA10" s="32">
        <f t="shared" si="6"/>
        <v>0.15</v>
      </c>
      <c r="AB10" s="32">
        <f t="shared" si="6"/>
        <v>0.15</v>
      </c>
      <c r="AC10" s="32">
        <f t="shared" si="6"/>
        <v>0.15</v>
      </c>
    </row>
    <row r="11" spans="1:30" ht="15" x14ac:dyDescent="0.25">
      <c r="A11" s="1" t="s">
        <v>95</v>
      </c>
      <c r="B11" s="5" t="s">
        <v>1</v>
      </c>
      <c r="C11" s="8">
        <f t="shared" ref="C11:AC11" si="7">C8/(1-C10)</f>
        <v>4171</v>
      </c>
      <c r="D11" s="8">
        <f t="shared" si="7"/>
        <v>4414</v>
      </c>
      <c r="E11" s="8">
        <f t="shared" si="7"/>
        <v>4627.9999999999991</v>
      </c>
      <c r="F11" s="8">
        <f t="shared" si="7"/>
        <v>4819.9999999999991</v>
      </c>
      <c r="G11" s="8">
        <f t="shared" si="7"/>
        <v>5020.9999999999991</v>
      </c>
      <c r="H11" s="8">
        <f t="shared" si="7"/>
        <v>5229.9999999999991</v>
      </c>
      <c r="I11" s="8">
        <f t="shared" si="7"/>
        <v>5447.9999999999982</v>
      </c>
      <c r="J11" s="8">
        <f t="shared" si="7"/>
        <v>5674.9999999999991</v>
      </c>
      <c r="K11" s="8">
        <f t="shared" si="7"/>
        <v>5910.9999999999991</v>
      </c>
      <c r="L11" s="8">
        <f t="shared" si="7"/>
        <v>6157.9999999999991</v>
      </c>
      <c r="M11" s="8">
        <f t="shared" si="7"/>
        <v>6414.9999999999991</v>
      </c>
      <c r="N11" s="8">
        <f t="shared" si="7"/>
        <v>6682.9999999999991</v>
      </c>
      <c r="O11" s="8">
        <f t="shared" si="7"/>
        <v>6961.9999999999991</v>
      </c>
      <c r="P11" s="8">
        <f t="shared" si="7"/>
        <v>7251.9999999999991</v>
      </c>
      <c r="Q11" s="8">
        <f t="shared" si="7"/>
        <v>7554.9999999999991</v>
      </c>
      <c r="R11" s="8">
        <f t="shared" si="7"/>
        <v>7871</v>
      </c>
      <c r="S11" s="8">
        <f t="shared" si="7"/>
        <v>8200</v>
      </c>
      <c r="T11" s="8">
        <f t="shared" si="7"/>
        <v>8542.9999999999982</v>
      </c>
      <c r="U11" s="8">
        <f t="shared" si="7"/>
        <v>8899.9999999999964</v>
      </c>
      <c r="V11" s="8">
        <f t="shared" si="7"/>
        <v>9271.9185297904678</v>
      </c>
      <c r="W11" s="8">
        <f t="shared" si="7"/>
        <v>9659.3790138283002</v>
      </c>
      <c r="X11" s="8">
        <f t="shared" si="7"/>
        <v>10063.030928604921</v>
      </c>
      <c r="Y11" s="8">
        <f t="shared" si="7"/>
        <v>10483.550891324336</v>
      </c>
      <c r="Z11" s="8">
        <f t="shared" si="7"/>
        <v>10921.643794075451</v>
      </c>
      <c r="AA11" s="8">
        <f t="shared" si="7"/>
        <v>11467.725983779224</v>
      </c>
      <c r="AB11" s="8">
        <f t="shared" si="7"/>
        <v>17790.206891746693</v>
      </c>
      <c r="AC11" s="8">
        <f t="shared" si="7"/>
        <v>26610.928688184671</v>
      </c>
    </row>
    <row r="12" spans="1:30" x14ac:dyDescent="0.2">
      <c r="A12" s="3" t="s">
        <v>6</v>
      </c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30" ht="15" x14ac:dyDescent="0.25">
      <c r="A13" s="5" t="s">
        <v>108</v>
      </c>
      <c r="B13" s="5"/>
      <c r="C13" s="6">
        <f>VLOOKUP($A$2,AR2008_Stats!$B$4:$O$15,AR2008_Stats!L$1,FALSE)</f>
        <v>0</v>
      </c>
      <c r="D13" s="64">
        <f>C13</f>
        <v>0</v>
      </c>
      <c r="E13" s="64">
        <f t="shared" ref="E13:T15" si="8">D13</f>
        <v>0</v>
      </c>
      <c r="F13" s="64">
        <f t="shared" si="8"/>
        <v>0</v>
      </c>
      <c r="G13" s="64">
        <f t="shared" si="8"/>
        <v>0</v>
      </c>
      <c r="H13" s="64">
        <f t="shared" si="8"/>
        <v>0</v>
      </c>
      <c r="I13" s="64">
        <f t="shared" si="8"/>
        <v>0</v>
      </c>
      <c r="J13" s="64">
        <f t="shared" si="8"/>
        <v>0</v>
      </c>
      <c r="K13" s="64">
        <f t="shared" si="8"/>
        <v>0</v>
      </c>
      <c r="L13" s="64">
        <f t="shared" si="8"/>
        <v>0</v>
      </c>
      <c r="M13" s="64">
        <f t="shared" si="8"/>
        <v>0</v>
      </c>
      <c r="N13" s="64">
        <f t="shared" si="8"/>
        <v>0</v>
      </c>
      <c r="O13" s="64">
        <f t="shared" si="8"/>
        <v>0</v>
      </c>
      <c r="P13" s="64">
        <f t="shared" si="8"/>
        <v>0</v>
      </c>
      <c r="Q13" s="64">
        <f t="shared" si="8"/>
        <v>0</v>
      </c>
      <c r="R13" s="64">
        <f t="shared" si="8"/>
        <v>0</v>
      </c>
      <c r="S13" s="64">
        <f t="shared" si="8"/>
        <v>0</v>
      </c>
      <c r="T13" s="64">
        <f t="shared" si="8"/>
        <v>0</v>
      </c>
      <c r="U13" s="64">
        <f t="shared" ref="U13:AA15" si="9">T13</f>
        <v>0</v>
      </c>
      <c r="V13" s="64">
        <f t="shared" si="9"/>
        <v>0</v>
      </c>
      <c r="W13" s="64">
        <f t="shared" si="9"/>
        <v>0</v>
      </c>
      <c r="X13" s="64">
        <f t="shared" si="9"/>
        <v>0</v>
      </c>
      <c r="Y13" s="64">
        <f t="shared" si="9"/>
        <v>0</v>
      </c>
      <c r="Z13" s="64">
        <f t="shared" si="9"/>
        <v>0</v>
      </c>
      <c r="AA13" s="64">
        <f t="shared" si="9"/>
        <v>0</v>
      </c>
    </row>
    <row r="14" spans="1:30" ht="15" x14ac:dyDescent="0.25">
      <c r="A14" s="5" t="s">
        <v>109</v>
      </c>
      <c r="B14" s="5"/>
      <c r="C14" s="6">
        <v>0</v>
      </c>
      <c r="D14" s="64">
        <f>C14</f>
        <v>0</v>
      </c>
      <c r="E14" s="64">
        <f t="shared" si="8"/>
        <v>0</v>
      </c>
      <c r="F14" s="64">
        <f t="shared" si="8"/>
        <v>0</v>
      </c>
      <c r="G14" s="64">
        <f t="shared" si="8"/>
        <v>0</v>
      </c>
      <c r="H14" s="64">
        <f t="shared" si="8"/>
        <v>0</v>
      </c>
      <c r="I14" s="64">
        <f t="shared" si="8"/>
        <v>0</v>
      </c>
      <c r="J14" s="64">
        <f t="shared" si="8"/>
        <v>0</v>
      </c>
      <c r="K14" s="64">
        <f t="shared" si="8"/>
        <v>0</v>
      </c>
      <c r="L14" s="64">
        <f t="shared" si="8"/>
        <v>0</v>
      </c>
      <c r="M14" s="64">
        <f t="shared" si="8"/>
        <v>0</v>
      </c>
      <c r="N14" s="64">
        <f t="shared" si="8"/>
        <v>0</v>
      </c>
      <c r="O14" s="64">
        <f t="shared" si="8"/>
        <v>0</v>
      </c>
      <c r="P14" s="64">
        <f t="shared" si="8"/>
        <v>0</v>
      </c>
      <c r="Q14" s="64">
        <f t="shared" si="8"/>
        <v>0</v>
      </c>
      <c r="R14" s="64">
        <f t="shared" si="8"/>
        <v>0</v>
      </c>
      <c r="S14" s="64">
        <f t="shared" si="8"/>
        <v>0</v>
      </c>
      <c r="T14" s="64">
        <f t="shared" si="8"/>
        <v>0</v>
      </c>
      <c r="U14" s="64">
        <f t="shared" si="9"/>
        <v>0</v>
      </c>
      <c r="V14" s="64">
        <f t="shared" si="9"/>
        <v>0</v>
      </c>
      <c r="W14" s="64">
        <f t="shared" si="9"/>
        <v>0</v>
      </c>
      <c r="X14" s="64">
        <f t="shared" si="9"/>
        <v>0</v>
      </c>
      <c r="Y14" s="64">
        <f t="shared" si="9"/>
        <v>0</v>
      </c>
      <c r="Z14" s="64">
        <f t="shared" si="9"/>
        <v>0</v>
      </c>
      <c r="AA14" s="64">
        <f t="shared" si="9"/>
        <v>0</v>
      </c>
    </row>
    <row r="15" spans="1:30" ht="15" x14ac:dyDescent="0.25">
      <c r="A15" s="5" t="s">
        <v>110</v>
      </c>
      <c r="B15" s="5"/>
      <c r="C15" s="6">
        <v>0</v>
      </c>
      <c r="D15" s="64">
        <f>C15</f>
        <v>0</v>
      </c>
      <c r="E15" s="64">
        <f t="shared" si="8"/>
        <v>0</v>
      </c>
      <c r="F15" s="64">
        <f t="shared" si="8"/>
        <v>0</v>
      </c>
      <c r="G15" s="64">
        <f t="shared" si="8"/>
        <v>0</v>
      </c>
      <c r="H15" s="64">
        <f t="shared" si="8"/>
        <v>0</v>
      </c>
      <c r="I15" s="64">
        <f t="shared" si="8"/>
        <v>0</v>
      </c>
      <c r="J15" s="64">
        <f t="shared" si="8"/>
        <v>0</v>
      </c>
      <c r="K15" s="64">
        <f t="shared" si="8"/>
        <v>0</v>
      </c>
      <c r="L15" s="64">
        <f t="shared" si="8"/>
        <v>0</v>
      </c>
      <c r="M15" s="64">
        <f t="shared" si="8"/>
        <v>0</v>
      </c>
      <c r="N15" s="64">
        <f t="shared" si="8"/>
        <v>0</v>
      </c>
      <c r="O15" s="64">
        <f t="shared" si="8"/>
        <v>0</v>
      </c>
      <c r="P15" s="64">
        <f t="shared" si="8"/>
        <v>0</v>
      </c>
      <c r="Q15" s="64">
        <f t="shared" si="8"/>
        <v>0</v>
      </c>
      <c r="R15" s="64">
        <f t="shared" si="8"/>
        <v>0</v>
      </c>
      <c r="S15" s="64">
        <f t="shared" si="8"/>
        <v>0</v>
      </c>
      <c r="T15" s="64">
        <f t="shared" si="8"/>
        <v>0</v>
      </c>
      <c r="U15" s="64">
        <f t="shared" si="9"/>
        <v>0</v>
      </c>
      <c r="V15" s="64">
        <f t="shared" si="9"/>
        <v>0</v>
      </c>
      <c r="W15" s="64">
        <f t="shared" si="9"/>
        <v>0</v>
      </c>
      <c r="X15" s="64">
        <f t="shared" si="9"/>
        <v>0</v>
      </c>
      <c r="Y15" s="64">
        <f t="shared" si="9"/>
        <v>0</v>
      </c>
      <c r="Z15" s="64">
        <f t="shared" si="9"/>
        <v>0</v>
      </c>
      <c r="AA15" s="64">
        <f t="shared" si="9"/>
        <v>0</v>
      </c>
    </row>
    <row r="16" spans="1:30" ht="15" x14ac:dyDescent="0.25">
      <c r="A16" s="5" t="s">
        <v>112</v>
      </c>
      <c r="B16" s="5"/>
      <c r="C16" s="6">
        <v>0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</row>
    <row r="17" spans="1:27" ht="15" x14ac:dyDescent="0.25">
      <c r="A17" s="5" t="s">
        <v>113</v>
      </c>
      <c r="B17" s="5"/>
      <c r="C17" s="6">
        <v>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</row>
    <row r="18" spans="1:27" ht="15" x14ac:dyDescent="0.25">
      <c r="A18" s="1" t="s">
        <v>111</v>
      </c>
      <c r="B18" s="5"/>
      <c r="C18" s="65">
        <f>SUM(C13:C17)</f>
        <v>0</v>
      </c>
      <c r="D18" s="65">
        <f t="shared" ref="D18:AA18" si="10">SUM(D13:D17)</f>
        <v>0</v>
      </c>
      <c r="E18" s="65">
        <f t="shared" si="10"/>
        <v>0</v>
      </c>
      <c r="F18" s="65">
        <f t="shared" si="10"/>
        <v>0</v>
      </c>
      <c r="G18" s="65">
        <f t="shared" si="10"/>
        <v>0</v>
      </c>
      <c r="H18" s="65">
        <f t="shared" si="10"/>
        <v>0</v>
      </c>
      <c r="I18" s="65">
        <f t="shared" si="10"/>
        <v>0</v>
      </c>
      <c r="J18" s="65">
        <f t="shared" si="10"/>
        <v>0</v>
      </c>
      <c r="K18" s="65">
        <f t="shared" si="10"/>
        <v>0</v>
      </c>
      <c r="L18" s="65">
        <f t="shared" si="10"/>
        <v>0</v>
      </c>
      <c r="M18" s="65">
        <f t="shared" si="10"/>
        <v>0</v>
      </c>
      <c r="N18" s="65">
        <f t="shared" si="10"/>
        <v>0</v>
      </c>
      <c r="O18" s="65">
        <f t="shared" si="10"/>
        <v>0</v>
      </c>
      <c r="P18" s="65">
        <f t="shared" si="10"/>
        <v>0</v>
      </c>
      <c r="Q18" s="65">
        <f t="shared" si="10"/>
        <v>0</v>
      </c>
      <c r="R18" s="65">
        <f t="shared" si="10"/>
        <v>0</v>
      </c>
      <c r="S18" s="65">
        <f t="shared" si="10"/>
        <v>0</v>
      </c>
      <c r="T18" s="65">
        <f t="shared" si="10"/>
        <v>0</v>
      </c>
      <c r="U18" s="65">
        <f t="shared" si="10"/>
        <v>0</v>
      </c>
      <c r="V18" s="65">
        <f t="shared" si="10"/>
        <v>0</v>
      </c>
      <c r="W18" s="65">
        <f t="shared" si="10"/>
        <v>0</v>
      </c>
      <c r="X18" s="65">
        <f t="shared" si="10"/>
        <v>0</v>
      </c>
      <c r="Y18" s="65">
        <f t="shared" si="10"/>
        <v>0</v>
      </c>
      <c r="Z18" s="65">
        <f t="shared" si="10"/>
        <v>0</v>
      </c>
      <c r="AA18" s="65">
        <f t="shared" si="10"/>
        <v>0</v>
      </c>
    </row>
    <row r="19" spans="1:27" ht="15" x14ac:dyDescent="0.25">
      <c r="A19" s="66" t="s">
        <v>116</v>
      </c>
      <c r="B19" s="66" t="s">
        <v>1</v>
      </c>
      <c r="C19" s="67">
        <f t="shared" ref="C19:AA19" si="11">C18+C11</f>
        <v>4171</v>
      </c>
      <c r="D19" s="67">
        <f t="shared" si="11"/>
        <v>4414</v>
      </c>
      <c r="E19" s="67">
        <f t="shared" si="11"/>
        <v>4627.9999999999991</v>
      </c>
      <c r="F19" s="67">
        <f t="shared" si="11"/>
        <v>4819.9999999999991</v>
      </c>
      <c r="G19" s="67">
        <f t="shared" si="11"/>
        <v>5020.9999999999991</v>
      </c>
      <c r="H19" s="67">
        <f t="shared" si="11"/>
        <v>5229.9999999999991</v>
      </c>
      <c r="I19" s="67">
        <f t="shared" si="11"/>
        <v>5447.9999999999982</v>
      </c>
      <c r="J19" s="67">
        <f t="shared" si="11"/>
        <v>5674.9999999999991</v>
      </c>
      <c r="K19" s="67">
        <f t="shared" si="11"/>
        <v>5910.9999999999991</v>
      </c>
      <c r="L19" s="67">
        <f t="shared" si="11"/>
        <v>6157.9999999999991</v>
      </c>
      <c r="M19" s="67">
        <f t="shared" si="11"/>
        <v>6414.9999999999991</v>
      </c>
      <c r="N19" s="67">
        <f t="shared" si="11"/>
        <v>6682.9999999999991</v>
      </c>
      <c r="O19" s="67">
        <f t="shared" si="11"/>
        <v>6961.9999999999991</v>
      </c>
      <c r="P19" s="67">
        <f t="shared" si="11"/>
        <v>7251.9999999999991</v>
      </c>
      <c r="Q19" s="67">
        <f t="shared" si="11"/>
        <v>7554.9999999999991</v>
      </c>
      <c r="R19" s="67">
        <f t="shared" si="11"/>
        <v>7871</v>
      </c>
      <c r="S19" s="67">
        <f t="shared" si="11"/>
        <v>8200</v>
      </c>
      <c r="T19" s="67">
        <f t="shared" si="11"/>
        <v>8542.9999999999982</v>
      </c>
      <c r="U19" s="67">
        <f t="shared" si="11"/>
        <v>8899.9999999999964</v>
      </c>
      <c r="V19" s="67">
        <f t="shared" si="11"/>
        <v>9271.9185297904678</v>
      </c>
      <c r="W19" s="67">
        <f t="shared" si="11"/>
        <v>9659.3790138283002</v>
      </c>
      <c r="X19" s="67">
        <f t="shared" si="11"/>
        <v>10063.030928604921</v>
      </c>
      <c r="Y19" s="67">
        <f t="shared" si="11"/>
        <v>10483.550891324336</v>
      </c>
      <c r="Z19" s="67">
        <f t="shared" si="11"/>
        <v>10921.643794075451</v>
      </c>
      <c r="AA19" s="67">
        <f t="shared" si="11"/>
        <v>11467.725983779224</v>
      </c>
    </row>
    <row r="20" spans="1:27" ht="15" x14ac:dyDescent="0.25">
      <c r="A20" s="3" t="s">
        <v>120</v>
      </c>
      <c r="B20" s="5" t="s">
        <v>1</v>
      </c>
      <c r="C20" s="6">
        <f>VLOOKUP($A$2,AR2008_Stats!$B$4:$O$15,AR2008_Stats!K$1,FALSE)</f>
        <v>57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 x14ac:dyDescent="0.25">
      <c r="A21" s="3" t="s">
        <v>121</v>
      </c>
      <c r="B21" s="5" t="s">
        <v>1</v>
      </c>
      <c r="C21" s="6">
        <f>VLOOKUP($A$2,AR2008_Stats!$B$4:$O$15,AR2008_Stats!J$1,FALSE)</f>
        <v>4141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7" ht="15" x14ac:dyDescent="0.25">
      <c r="A22" s="66" t="s">
        <v>119</v>
      </c>
      <c r="B22" s="66" t="s">
        <v>1</v>
      </c>
      <c r="C22" s="67">
        <f>C21+C20</f>
        <v>4198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7" x14ac:dyDescent="0.2">
      <c r="A23" s="3" t="s">
        <v>88</v>
      </c>
    </row>
    <row r="24" spans="1:27" ht="15" x14ac:dyDescent="0.25">
      <c r="A24" s="1" t="s">
        <v>76</v>
      </c>
      <c r="B24" s="5" t="s">
        <v>1</v>
      </c>
      <c r="C24" s="74">
        <f>VLOOKUP($A$2,'[1]Total Existing Capacity'!$A$3:$J$14,9,FALSE)</f>
        <v>7457.3740498827992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7" x14ac:dyDescent="0.2">
      <c r="A25" s="1" t="s">
        <v>89</v>
      </c>
      <c r="B25" s="5"/>
      <c r="C25" s="30">
        <f>(C20+C24)/C11-1</f>
        <v>0.80157613279376627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7" x14ac:dyDescent="0.2">
      <c r="A26" s="1" t="s">
        <v>90</v>
      </c>
      <c r="B26" s="5"/>
      <c r="C26" s="30">
        <f>(C20+C24-C13)/C11-1</f>
        <v>0.80157613279376627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7" x14ac:dyDescent="0.2">
      <c r="A27" s="1" t="s">
        <v>91</v>
      </c>
      <c r="B27" s="5"/>
      <c r="C27" s="30">
        <f>C24/C11-1</f>
        <v>0.78791034521285042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7" x14ac:dyDescent="0.2">
      <c r="A28" s="1" t="s">
        <v>92</v>
      </c>
      <c r="B28" s="5"/>
      <c r="C28" s="30">
        <f>(C24-C13)/C11-1</f>
        <v>0.78791034521285042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7" ht="15" x14ac:dyDescent="0.25">
      <c r="A29" s="1" t="s">
        <v>77</v>
      </c>
      <c r="B29" s="5" t="s">
        <v>1</v>
      </c>
      <c r="C29" s="74">
        <f>VLOOKUP($A$2,'[1]Total Existing Capacity'!$A$3:$J$14,10,FALSE)</f>
        <v>6939.3740498827992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7" x14ac:dyDescent="0.2">
      <c r="A30" s="1" t="s">
        <v>93</v>
      </c>
      <c r="B30" s="5"/>
      <c r="C30" s="30">
        <f>C29/C11-1</f>
        <v>0.66371950368803634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7" x14ac:dyDescent="0.2">
      <c r="A31" s="1" t="s">
        <v>94</v>
      </c>
      <c r="B31" s="5"/>
      <c r="C31" s="30">
        <f>(C29-C13)/C11-1</f>
        <v>0.66371950368803634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7" ht="15" x14ac:dyDescent="0.25">
      <c r="A32" s="1" t="s">
        <v>74</v>
      </c>
      <c r="B32" s="2" t="s">
        <v>10</v>
      </c>
      <c r="C32" s="27">
        <f>IF(B3="AR 2008",VLOOKUP($A$2,AR2008_Stats!$B$4:$O$15,AR2008_Stats!F$1,FALSE),C47)</f>
        <v>728</v>
      </c>
      <c r="D32" s="28">
        <f>D19/(D33*8.76)</f>
        <v>772</v>
      </c>
      <c r="E32" s="28">
        <f t="shared" ref="E32:Z32" si="12">E19/(E33*8.76)</f>
        <v>809.99999999999977</v>
      </c>
      <c r="F32" s="28">
        <f t="shared" si="12"/>
        <v>843.99999999999989</v>
      </c>
      <c r="G32" s="28">
        <f t="shared" si="12"/>
        <v>878.99999999999989</v>
      </c>
      <c r="H32" s="28">
        <f t="shared" si="12"/>
        <v>915.99999999999989</v>
      </c>
      <c r="I32" s="28">
        <f t="shared" si="12"/>
        <v>954.99999999999966</v>
      </c>
      <c r="J32" s="28">
        <f t="shared" si="12"/>
        <v>994.99999999999989</v>
      </c>
      <c r="K32" s="28">
        <f t="shared" si="12"/>
        <v>1036.9999999999998</v>
      </c>
      <c r="L32" s="28">
        <f t="shared" si="12"/>
        <v>1080.9999999999998</v>
      </c>
      <c r="M32" s="28">
        <f t="shared" si="12"/>
        <v>1125.9999999999998</v>
      </c>
      <c r="N32" s="28">
        <f t="shared" si="12"/>
        <v>1174</v>
      </c>
      <c r="O32" s="28">
        <f t="shared" si="12"/>
        <v>1222.9999999999998</v>
      </c>
      <c r="P32" s="28">
        <f t="shared" si="12"/>
        <v>1275</v>
      </c>
      <c r="Q32" s="28">
        <f t="shared" si="12"/>
        <v>1328</v>
      </c>
      <c r="R32" s="28">
        <f t="shared" si="12"/>
        <v>1383.9999999999998</v>
      </c>
      <c r="S32" s="28">
        <f t="shared" si="12"/>
        <v>1442</v>
      </c>
      <c r="T32" s="28">
        <f t="shared" si="12"/>
        <v>1502.9999999999995</v>
      </c>
      <c r="U32" s="28">
        <f t="shared" si="12"/>
        <v>1565.808264075851</v>
      </c>
      <c r="V32" s="28">
        <f t="shared" si="12"/>
        <v>1631.2411975038128</v>
      </c>
      <c r="W32" s="28">
        <f t="shared" si="12"/>
        <v>1699.408481538562</v>
      </c>
      <c r="X32" s="28">
        <f t="shared" si="12"/>
        <v>1770.4243808607275</v>
      </c>
      <c r="Y32" s="28">
        <f t="shared" si="12"/>
        <v>1844.407935111843</v>
      </c>
      <c r="Z32" s="28">
        <f t="shared" si="12"/>
        <v>1921.4831584332674</v>
      </c>
    </row>
    <row r="33" spans="1:27" ht="15" x14ac:dyDescent="0.25">
      <c r="A33" s="1" t="s">
        <v>7</v>
      </c>
      <c r="C33" s="14">
        <f>C19/(C32*8.76)</f>
        <v>0.65404059410908733</v>
      </c>
      <c r="D33" s="14">
        <f t="shared" ref="D33:T33" si="13">IF(B3="AR 2008",D49,D50)</f>
        <v>0.65269595665649327</v>
      </c>
      <c r="E33" s="14">
        <f t="shared" si="13"/>
        <v>0.6522351880038334</v>
      </c>
      <c r="F33" s="14">
        <f t="shared" si="13"/>
        <v>0.65192927784630705</v>
      </c>
      <c r="G33" s="14">
        <f t="shared" si="13"/>
        <v>0.6520745346777419</v>
      </c>
      <c r="H33" s="14">
        <f t="shared" si="13"/>
        <v>0.65178161950908253</v>
      </c>
      <c r="I33" s="14">
        <f t="shared" si="13"/>
        <v>0.65122283583160012</v>
      </c>
      <c r="J33" s="14">
        <f t="shared" si="13"/>
        <v>0.65108648264151814</v>
      </c>
      <c r="K33" s="14">
        <f t="shared" si="13"/>
        <v>0.65069593972778883</v>
      </c>
      <c r="L33" s="14">
        <f t="shared" si="13"/>
        <v>0.65029420585539355</v>
      </c>
      <c r="M33" s="14">
        <f t="shared" si="13"/>
        <v>0.65036051161017705</v>
      </c>
      <c r="N33" s="14">
        <f t="shared" si="13"/>
        <v>0.6498292533040847</v>
      </c>
      <c r="O33" s="14">
        <f t="shared" si="13"/>
        <v>0.649835534298846</v>
      </c>
      <c r="P33" s="14">
        <f t="shared" si="13"/>
        <v>0.64929716178708929</v>
      </c>
      <c r="Q33" s="14">
        <f t="shared" si="13"/>
        <v>0.64942991142652806</v>
      </c>
      <c r="R33" s="14">
        <f t="shared" si="13"/>
        <v>0.64921674980864152</v>
      </c>
      <c r="S33" s="14">
        <f t="shared" si="13"/>
        <v>0.6491491396398964</v>
      </c>
      <c r="T33" s="14">
        <f t="shared" si="13"/>
        <v>0.64885449800551109</v>
      </c>
      <c r="U33" s="14">
        <f>T33</f>
        <v>0.64885449800551109</v>
      </c>
      <c r="V33" s="14">
        <f t="shared" ref="V33:Z33" si="14">U33</f>
        <v>0.64885449800551109</v>
      </c>
      <c r="W33" s="14">
        <f t="shared" si="14"/>
        <v>0.64885449800551109</v>
      </c>
      <c r="X33" s="14">
        <f t="shared" si="14"/>
        <v>0.64885449800551109</v>
      </c>
      <c r="Y33" s="14">
        <f t="shared" si="14"/>
        <v>0.64885449800551109</v>
      </c>
      <c r="Z33" s="14">
        <f t="shared" si="14"/>
        <v>0.64885449800551109</v>
      </c>
    </row>
    <row r="34" spans="1:27" ht="15" x14ac:dyDescent="0.25">
      <c r="A34" s="1" t="s">
        <v>8</v>
      </c>
      <c r="C34" s="15"/>
      <c r="D34" s="15">
        <f t="shared" ref="D34:J34" si="15">D32/C32-1</f>
        <v>6.0439560439560447E-2</v>
      </c>
      <c r="E34" s="15">
        <f t="shared" si="15"/>
        <v>4.9222797927460871E-2</v>
      </c>
      <c r="F34" s="15">
        <f t="shared" si="15"/>
        <v>4.1975308641975406E-2</v>
      </c>
      <c r="G34" s="15">
        <f t="shared" si="15"/>
        <v>4.1469194312796276E-2</v>
      </c>
      <c r="H34" s="15">
        <f t="shared" si="15"/>
        <v>4.2093287827076331E-2</v>
      </c>
      <c r="I34" s="15">
        <f t="shared" si="15"/>
        <v>4.2576419213973482E-2</v>
      </c>
      <c r="J34" s="15">
        <f t="shared" si="15"/>
        <v>4.1884816753926968E-2</v>
      </c>
    </row>
    <row r="35" spans="1:27" ht="15" x14ac:dyDescent="0.25">
      <c r="A35" s="1" t="s">
        <v>75</v>
      </c>
      <c r="B35" s="2" t="s">
        <v>10</v>
      </c>
      <c r="C35" s="35">
        <f>IF(B3="AR 2008",C52,C53)</f>
        <v>1280</v>
      </c>
      <c r="D35" s="15"/>
      <c r="E35" s="15"/>
      <c r="F35" s="15"/>
      <c r="G35" s="15"/>
      <c r="H35" s="15"/>
      <c r="I35" s="15"/>
      <c r="J35" s="15"/>
    </row>
    <row r="36" spans="1:27" s="1" customFormat="1" x14ac:dyDescent="0.2">
      <c r="A36" s="1" t="s">
        <v>81</v>
      </c>
      <c r="B36" s="1" t="s">
        <v>10</v>
      </c>
      <c r="C36" s="72">
        <f>MAX(0,C32-C35)</f>
        <v>0</v>
      </c>
      <c r="D36" s="77">
        <f>C20/(C33*8.76)</f>
        <v>9.9486933589067359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1:27" ht="15" x14ac:dyDescent="0.25">
      <c r="A37" s="1" t="s">
        <v>79</v>
      </c>
      <c r="C37" s="15">
        <f>C35/C32-1</f>
        <v>0.75824175824175821</v>
      </c>
      <c r="D37" s="34">
        <f>C37</f>
        <v>0.75824175824175821</v>
      </c>
      <c r="E37" s="34">
        <f t="shared" ref="E37:AA37" si="16">D37</f>
        <v>0.75824175824175821</v>
      </c>
      <c r="F37" s="34">
        <f t="shared" si="16"/>
        <v>0.75824175824175821</v>
      </c>
      <c r="G37" s="34">
        <f t="shared" si="16"/>
        <v>0.75824175824175821</v>
      </c>
      <c r="H37" s="34">
        <f t="shared" si="16"/>
        <v>0.75824175824175821</v>
      </c>
      <c r="I37" s="34">
        <f t="shared" si="16"/>
        <v>0.75824175824175821</v>
      </c>
      <c r="J37" s="34">
        <f t="shared" si="16"/>
        <v>0.75824175824175821</v>
      </c>
      <c r="K37" s="34">
        <f t="shared" si="16"/>
        <v>0.75824175824175821</v>
      </c>
      <c r="L37" s="34">
        <f t="shared" si="16"/>
        <v>0.75824175824175821</v>
      </c>
      <c r="M37" s="34">
        <f t="shared" si="16"/>
        <v>0.75824175824175821</v>
      </c>
      <c r="N37" s="34">
        <f t="shared" si="16"/>
        <v>0.75824175824175821</v>
      </c>
      <c r="O37" s="34">
        <f t="shared" si="16"/>
        <v>0.75824175824175821</v>
      </c>
      <c r="P37" s="34">
        <f t="shared" si="16"/>
        <v>0.75824175824175821</v>
      </c>
      <c r="Q37" s="34">
        <f t="shared" si="16"/>
        <v>0.75824175824175821</v>
      </c>
      <c r="R37" s="34">
        <f t="shared" si="16"/>
        <v>0.75824175824175821</v>
      </c>
      <c r="S37" s="34">
        <f t="shared" si="16"/>
        <v>0.75824175824175821</v>
      </c>
      <c r="T37" s="34">
        <f t="shared" si="16"/>
        <v>0.75824175824175821</v>
      </c>
      <c r="U37" s="34">
        <f t="shared" si="16"/>
        <v>0.75824175824175821</v>
      </c>
      <c r="V37" s="34">
        <f t="shared" si="16"/>
        <v>0.75824175824175821</v>
      </c>
      <c r="W37" s="34">
        <f t="shared" si="16"/>
        <v>0.75824175824175821</v>
      </c>
      <c r="X37" s="34">
        <f t="shared" si="16"/>
        <v>0.75824175824175821</v>
      </c>
      <c r="Y37" s="34">
        <f t="shared" si="16"/>
        <v>0.75824175824175821</v>
      </c>
      <c r="Z37" s="34">
        <f t="shared" si="16"/>
        <v>0.75824175824175821</v>
      </c>
      <c r="AA37" s="34">
        <f t="shared" si="16"/>
        <v>0.75824175824175821</v>
      </c>
    </row>
    <row r="38" spans="1:27" ht="15" x14ac:dyDescent="0.25">
      <c r="A38" s="1"/>
      <c r="C38" s="15"/>
      <c r="D38" s="15"/>
      <c r="E38" s="15"/>
      <c r="F38" s="15"/>
      <c r="G38" s="15"/>
      <c r="H38" s="15"/>
      <c r="I38" s="15"/>
      <c r="J38" s="15"/>
    </row>
    <row r="39" spans="1:27" ht="15" x14ac:dyDescent="0.25">
      <c r="A39" s="3" t="s">
        <v>78</v>
      </c>
      <c r="C39" s="15"/>
      <c r="D39" s="36"/>
      <c r="E39" s="36"/>
      <c r="F39" s="36"/>
      <c r="G39" s="36"/>
      <c r="H39" s="36"/>
      <c r="I39" s="35"/>
      <c r="J39" s="35"/>
    </row>
    <row r="40" spans="1:27" ht="15" x14ac:dyDescent="0.25">
      <c r="A40" s="1" t="s">
        <v>69</v>
      </c>
      <c r="B40" s="1" t="s">
        <v>1</v>
      </c>
      <c r="D40" s="23">
        <f>SUMIF(AR2008_EnergyProj!$A$3:$A$14,TAN!$A$2,AR2008_EnergyProj!B$3:B$14)</f>
        <v>4414</v>
      </c>
      <c r="E40" s="23">
        <f>SUMIF(AR2008_EnergyProj!$A$3:$A$14,TAN!$A$2,AR2008_EnergyProj!C$3:C$14)</f>
        <v>4628</v>
      </c>
      <c r="F40" s="23">
        <f>SUMIF(AR2008_EnergyProj!$A$3:$A$14,TAN!$A$2,AR2008_EnergyProj!D$3:D$14)</f>
        <v>4820</v>
      </c>
      <c r="G40" s="23">
        <f>SUMIF(AR2008_EnergyProj!$A$3:$A$14,TAN!$A$2,AR2008_EnergyProj!E$3:E$14)</f>
        <v>5021</v>
      </c>
      <c r="H40" s="23">
        <f>SUMIF(AR2008_EnergyProj!$A$3:$A$14,TAN!$A$2,AR2008_EnergyProj!F$3:F$14)</f>
        <v>5230</v>
      </c>
      <c r="I40" s="23">
        <f>SUMIF(AR2008_EnergyProj!$A$3:$A$14,TAN!$A$2,AR2008_EnergyProj!G$3:G$14)</f>
        <v>5448</v>
      </c>
      <c r="J40" s="23">
        <f>SUMIF(AR2008_EnergyProj!$A$3:$A$14,TAN!$A$2,AR2008_EnergyProj!H$3:H$14)</f>
        <v>5675</v>
      </c>
      <c r="K40" s="23">
        <f>SUMIF(AR2008_EnergyProj!$A$3:$A$14,TAN!$A$2,AR2008_EnergyProj!I$3:I$14)</f>
        <v>5911</v>
      </c>
      <c r="L40" s="23">
        <f>SUMIF(AR2008_EnergyProj!$A$3:$A$14,TAN!$A$2,AR2008_EnergyProj!J$3:J$14)</f>
        <v>6158</v>
      </c>
      <c r="M40" s="23">
        <f>SUMIF(AR2008_EnergyProj!$A$3:$A$14,TAN!$A$2,AR2008_EnergyProj!K$3:K$14)</f>
        <v>6415</v>
      </c>
      <c r="N40" s="23">
        <f>SUMIF(AR2008_EnergyProj!$A$3:$A$14,TAN!$A$2,AR2008_EnergyProj!L$3:L$14)</f>
        <v>6683</v>
      </c>
      <c r="O40" s="23">
        <f>SUMIF(AR2008_EnergyProj!$A$3:$A$14,TAN!$A$2,AR2008_EnergyProj!M$3:M$14)</f>
        <v>6962</v>
      </c>
      <c r="P40" s="23">
        <f>SUMIF(AR2008_EnergyProj!$A$3:$A$14,TAN!$A$2,AR2008_EnergyProj!N$3:N$14)</f>
        <v>7252</v>
      </c>
      <c r="Q40" s="23">
        <f>SUMIF(AR2008_EnergyProj!$A$3:$A$14,TAN!$A$2,AR2008_EnergyProj!O$3:O$14)</f>
        <v>7555</v>
      </c>
      <c r="R40" s="23">
        <f>SUMIF(AR2008_EnergyProj!$A$3:$A$14,TAN!$A$2,AR2008_EnergyProj!P$3:P$14)</f>
        <v>7871</v>
      </c>
      <c r="S40" s="23">
        <f>SUMIF(AR2008_EnergyProj!$A$3:$A$14,TAN!$A$2,AR2008_EnergyProj!Q$3:Q$14)</f>
        <v>8200</v>
      </c>
      <c r="T40" s="23">
        <f>SUMIF(AR2008_EnergyProj!$A$3:$A$14,TAN!$A$2,AR2008_EnergyProj!R$3:R$14)</f>
        <v>8543</v>
      </c>
    </row>
    <row r="41" spans="1:27" ht="15" x14ac:dyDescent="0.25">
      <c r="A41" s="1" t="s">
        <v>11</v>
      </c>
      <c r="B41" s="1"/>
      <c r="D41" s="26">
        <f>VLOOKUP($A$2,AR2008_Stats!$B$4:$O$15,AR2008_Stats!I$1,FALSE)/100</f>
        <v>0.16</v>
      </c>
      <c r="E41" s="18">
        <f>E40/D40-1</f>
        <v>4.84821024014499E-2</v>
      </c>
      <c r="F41" s="18">
        <f t="shared" ref="F41:T41" si="17">F40/E40-1</f>
        <v>4.1486603284356161E-2</v>
      </c>
      <c r="G41" s="18">
        <f t="shared" si="17"/>
        <v>4.1701244813278082E-2</v>
      </c>
      <c r="H41" s="18">
        <f t="shared" si="17"/>
        <v>4.1625174268073994E-2</v>
      </c>
      <c r="I41" s="18">
        <f t="shared" si="17"/>
        <v>4.1682600382409118E-2</v>
      </c>
      <c r="J41" s="18">
        <f t="shared" si="17"/>
        <v>4.1666666666666741E-2</v>
      </c>
      <c r="K41" s="18">
        <f t="shared" si="17"/>
        <v>4.1585903083700471E-2</v>
      </c>
      <c r="L41" s="18">
        <f t="shared" si="17"/>
        <v>4.1786499746235828E-2</v>
      </c>
      <c r="M41" s="18">
        <f t="shared" si="17"/>
        <v>4.1734329327703712E-2</v>
      </c>
      <c r="N41" s="18">
        <f t="shared" si="17"/>
        <v>4.1777084957131727E-2</v>
      </c>
      <c r="O41" s="18">
        <f t="shared" si="17"/>
        <v>4.1747718090677788E-2</v>
      </c>
      <c r="P41" s="18">
        <f t="shared" si="17"/>
        <v>4.1654696926170631E-2</v>
      </c>
      <c r="Q41" s="18">
        <f t="shared" si="17"/>
        <v>4.1781577495863198E-2</v>
      </c>
      <c r="R41" s="18">
        <f t="shared" si="17"/>
        <v>4.1826604897418962E-2</v>
      </c>
      <c r="S41" s="18">
        <f t="shared" si="17"/>
        <v>4.1799009020454747E-2</v>
      </c>
      <c r="T41" s="18">
        <f t="shared" si="17"/>
        <v>4.1829268292682853E-2</v>
      </c>
      <c r="U41" s="4">
        <f>T41</f>
        <v>4.1829268292682853E-2</v>
      </c>
    </row>
    <row r="42" spans="1:27" ht="15" x14ac:dyDescent="0.25">
      <c r="A42" s="1" t="s">
        <v>118</v>
      </c>
      <c r="B42" s="1" t="s">
        <v>1</v>
      </c>
      <c r="C42" s="23">
        <f>SUMIF(PoolPlan_EnergyProj!$B$60:$B$71,TAN!$A$2,PoolPlan_EnergyProj!D$60:D$71)</f>
        <v>4171</v>
      </c>
      <c r="D42" s="23">
        <f>SUMIF(PoolPlan_EnergyProj!$B$60:$B$71,TAN!$A$2,PoolPlan_EnergyProj!E$60:E$71)</f>
        <v>4414</v>
      </c>
      <c r="E42" s="23">
        <f>SUMIF(PoolPlan_EnergyProj!$B$60:$B$71,TAN!$A$2,PoolPlan_EnergyProj!F$60:F$71)</f>
        <v>4628</v>
      </c>
      <c r="F42" s="23">
        <f>SUMIF(PoolPlan_EnergyProj!$B$60:$B$71,TAN!$A$2,PoolPlan_EnergyProj!G$60:G$71)</f>
        <v>4820</v>
      </c>
      <c r="G42" s="23">
        <f>SUMIF(PoolPlan_EnergyProj!$B$60:$B$71,TAN!$A$2,PoolPlan_EnergyProj!H$60:H$71)</f>
        <v>5021</v>
      </c>
      <c r="H42" s="23">
        <f>SUMIF(PoolPlan_EnergyProj!$B$60:$B$71,TAN!$A$2,PoolPlan_EnergyProj!I$60:I$71)</f>
        <v>5230</v>
      </c>
      <c r="I42" s="23">
        <f>SUMIF(PoolPlan_EnergyProj!$B$60:$B$71,TAN!$A$2,PoolPlan_EnergyProj!J$60:J$71)</f>
        <v>5448</v>
      </c>
      <c r="J42" s="23">
        <f>SUMIF(PoolPlan_EnergyProj!$B$60:$B$71,TAN!$A$2,PoolPlan_EnergyProj!K$60:K$71)</f>
        <v>5675</v>
      </c>
      <c r="K42" s="23">
        <f>SUMIF(PoolPlan_EnergyProj!$B$60:$B$71,TAN!$A$2,PoolPlan_EnergyProj!L$60:L$71)</f>
        <v>5911</v>
      </c>
      <c r="L42" s="23">
        <f>SUMIF(PoolPlan_EnergyProj!$B$60:$B$71,TAN!$A$2,PoolPlan_EnergyProj!M$60:M$71)</f>
        <v>6158</v>
      </c>
      <c r="M42" s="23">
        <f>SUMIF(PoolPlan_EnergyProj!$B$60:$B$71,TAN!$A$2,PoolPlan_EnergyProj!N$60:N$71)</f>
        <v>6415</v>
      </c>
      <c r="N42" s="23">
        <f>SUMIF(PoolPlan_EnergyProj!$B$60:$B$71,TAN!$A$2,PoolPlan_EnergyProj!O$60:O$71)</f>
        <v>6683</v>
      </c>
      <c r="O42" s="23">
        <f>SUMIF(PoolPlan_EnergyProj!$B$60:$B$71,TAN!$A$2,PoolPlan_EnergyProj!P$60:P$71)</f>
        <v>6962</v>
      </c>
      <c r="P42" s="23">
        <f>SUMIF(PoolPlan_EnergyProj!$B$60:$B$71,TAN!$A$2,PoolPlan_EnergyProj!Q$60:Q$71)</f>
        <v>7252</v>
      </c>
      <c r="Q42" s="23">
        <f>SUMIF(PoolPlan_EnergyProj!$B$60:$B$71,TAN!$A$2,PoolPlan_EnergyProj!R$60:R$71)</f>
        <v>7555</v>
      </c>
      <c r="R42" s="23">
        <f>SUMIF(PoolPlan_EnergyProj!$B$60:$B$71,TAN!$A$2,PoolPlan_EnergyProj!S$60:S$71)</f>
        <v>7871</v>
      </c>
      <c r="S42" s="23">
        <f>SUMIF(PoolPlan_EnergyProj!$B$60:$B$71,TAN!$A$2,PoolPlan_EnergyProj!T$60:T$71)</f>
        <v>8200</v>
      </c>
      <c r="T42" s="23">
        <f>SUMIF(PoolPlan_EnergyProj!$B$60:$B$71,TAN!$A$2,PoolPlan_EnergyProj!U$60:U$71)</f>
        <v>8543</v>
      </c>
      <c r="U42" s="23">
        <f>SUMIF(PoolPlan_EnergyProj!$B$60:$B$71,TAN!$A$2,PoolPlan_EnergyProj!V$60:V$71)</f>
        <v>8900</v>
      </c>
      <c r="V42" s="23"/>
    </row>
    <row r="43" spans="1:27" x14ac:dyDescent="0.2">
      <c r="A43" s="1" t="s">
        <v>11</v>
      </c>
      <c r="B43" s="1"/>
      <c r="C43" s="16"/>
      <c r="D43" s="18">
        <f>D42/C42-1</f>
        <v>5.8259410213377993E-2</v>
      </c>
      <c r="E43" s="18">
        <f t="shared" ref="E43:U43" si="18">E42/D42-1</f>
        <v>4.84821024014499E-2</v>
      </c>
      <c r="F43" s="18">
        <f t="shared" si="18"/>
        <v>4.1486603284356161E-2</v>
      </c>
      <c r="G43" s="18">
        <f t="shared" si="18"/>
        <v>4.1701244813278082E-2</v>
      </c>
      <c r="H43" s="18">
        <f t="shared" si="18"/>
        <v>4.1625174268073994E-2</v>
      </c>
      <c r="I43" s="18">
        <f t="shared" si="18"/>
        <v>4.1682600382409118E-2</v>
      </c>
      <c r="J43" s="18">
        <f t="shared" si="18"/>
        <v>4.1666666666666741E-2</v>
      </c>
      <c r="K43" s="18">
        <f t="shared" si="18"/>
        <v>4.1585903083700471E-2</v>
      </c>
      <c r="L43" s="18">
        <f t="shared" si="18"/>
        <v>4.1786499746235828E-2</v>
      </c>
      <c r="M43" s="18">
        <f t="shared" si="18"/>
        <v>4.1734329327703712E-2</v>
      </c>
      <c r="N43" s="18">
        <f t="shared" si="18"/>
        <v>4.1777084957131727E-2</v>
      </c>
      <c r="O43" s="18">
        <f t="shared" si="18"/>
        <v>4.1747718090677788E-2</v>
      </c>
      <c r="P43" s="18">
        <f t="shared" si="18"/>
        <v>4.1654696926170631E-2</v>
      </c>
      <c r="Q43" s="18">
        <f t="shared" si="18"/>
        <v>4.1781577495863198E-2</v>
      </c>
      <c r="R43" s="18">
        <f t="shared" si="18"/>
        <v>4.1826604897418962E-2</v>
      </c>
      <c r="S43" s="18">
        <f t="shared" si="18"/>
        <v>4.1799009020454747E-2</v>
      </c>
      <c r="T43" s="18">
        <f t="shared" si="18"/>
        <v>4.1829268292682853E-2</v>
      </c>
      <c r="U43" s="18">
        <f t="shared" si="18"/>
        <v>4.1788598852861902E-2</v>
      </c>
    </row>
    <row r="44" spans="1:27" x14ac:dyDescent="0.2">
      <c r="A44" s="1"/>
      <c r="B44" s="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7" ht="15" x14ac:dyDescent="0.25">
      <c r="A45" s="1" t="s">
        <v>9</v>
      </c>
      <c r="B45" s="1" t="s">
        <v>10</v>
      </c>
      <c r="C45"/>
      <c r="D45">
        <f>SUMIF(AR2008_PeakProj!$A$3:$A$14,TAN!$A$2,AR2008_PeakProj!B$3:B$14)</f>
        <v>772</v>
      </c>
      <c r="E45">
        <f>SUMIF(AR2008_PeakProj!$A$3:$A$14,TAN!$A$2,AR2008_PeakProj!C$3:C$14)</f>
        <v>810</v>
      </c>
      <c r="F45">
        <f>SUMIF(AR2008_PeakProj!$A$3:$A$14,TAN!$A$2,AR2008_PeakProj!D$3:D$14)</f>
        <v>844</v>
      </c>
      <c r="G45">
        <f>SUMIF(AR2008_PeakProj!$A$3:$A$14,TAN!$A$2,AR2008_PeakProj!E$3:E$14)</f>
        <v>879</v>
      </c>
      <c r="H45">
        <f>SUMIF(AR2008_PeakProj!$A$3:$A$14,TAN!$A$2,AR2008_PeakProj!F$3:F$14)</f>
        <v>916</v>
      </c>
      <c r="I45">
        <f>SUMIF(AR2008_PeakProj!$A$3:$A$14,TAN!$A$2,AR2008_PeakProj!G$3:G$14)</f>
        <v>955</v>
      </c>
      <c r="J45">
        <f>SUMIF(AR2008_PeakProj!$A$3:$A$14,TAN!$A$2,AR2008_PeakProj!H$3:H$14)</f>
        <v>995</v>
      </c>
      <c r="K45">
        <f>SUMIF(AR2008_PeakProj!$A$3:$A$14,TAN!$A$2,AR2008_PeakProj!I$3:I$14)</f>
        <v>1037</v>
      </c>
      <c r="L45">
        <f>SUMIF(AR2008_PeakProj!$A$3:$A$14,TAN!$A$2,AR2008_PeakProj!J$3:J$14)</f>
        <v>1081</v>
      </c>
      <c r="M45">
        <f>SUMIF(AR2008_PeakProj!$A$3:$A$14,TAN!$A$2,AR2008_PeakProj!K$3:K$14)</f>
        <v>1126</v>
      </c>
      <c r="N45">
        <f>SUMIF(AR2008_PeakProj!$A$3:$A$14,TAN!$A$2,AR2008_PeakProj!L$3:L$14)</f>
        <v>1174</v>
      </c>
      <c r="O45">
        <f>SUMIF(AR2008_PeakProj!$A$3:$A$14,TAN!$A$2,AR2008_PeakProj!M$3:M$14)</f>
        <v>1223</v>
      </c>
      <c r="P45">
        <f>SUMIF(AR2008_PeakProj!$A$3:$A$14,TAN!$A$2,AR2008_PeakProj!N$3:N$14)</f>
        <v>1275</v>
      </c>
      <c r="Q45">
        <f>SUMIF(AR2008_PeakProj!$A$3:$A$14,TAN!$A$2,AR2008_PeakProj!O$3:O$14)</f>
        <v>1328</v>
      </c>
      <c r="R45">
        <f>SUMIF(AR2008_PeakProj!$A$3:$A$14,TAN!$A$2,AR2008_PeakProj!P$3:P$14)</f>
        <v>1384</v>
      </c>
      <c r="S45">
        <f>SUMIF(AR2008_PeakProj!$A$3:$A$14,TAN!$A$2,AR2008_PeakProj!Q$3:Q$14)</f>
        <v>1442</v>
      </c>
      <c r="T45">
        <f>SUMIF(AR2008_PeakProj!$A$3:$A$14,TAN!$A$2,AR2008_PeakProj!R$3:R$14)</f>
        <v>1503</v>
      </c>
      <c r="U45">
        <f>SUMIF(AR2008_PeakProj!$A$3:$A$14,TAN!$A$2,AR2008_PeakProj!S$3:S$14)</f>
        <v>1566</v>
      </c>
    </row>
    <row r="46" spans="1:27" x14ac:dyDescent="0.2">
      <c r="A46" s="1" t="s">
        <v>11</v>
      </c>
      <c r="B46" s="1" t="s">
        <v>12</v>
      </c>
      <c r="E46" s="18">
        <f>E45/D45-1</f>
        <v>4.9222797927461093E-2</v>
      </c>
      <c r="F46" s="18">
        <f t="shared" ref="F46:U46" si="19">F45/E45-1</f>
        <v>4.1975308641975406E-2</v>
      </c>
      <c r="G46" s="18">
        <f t="shared" si="19"/>
        <v>4.1469194312796276E-2</v>
      </c>
      <c r="H46" s="18">
        <f t="shared" si="19"/>
        <v>4.2093287827076331E-2</v>
      </c>
      <c r="I46" s="18">
        <f t="shared" si="19"/>
        <v>4.2576419213973704E-2</v>
      </c>
      <c r="J46" s="18">
        <f t="shared" si="19"/>
        <v>4.1884816753926746E-2</v>
      </c>
      <c r="K46" s="18">
        <f t="shared" si="19"/>
        <v>4.2211055276381915E-2</v>
      </c>
      <c r="L46" s="18">
        <f t="shared" si="19"/>
        <v>4.2430086788813881E-2</v>
      </c>
      <c r="M46" s="18">
        <f t="shared" si="19"/>
        <v>4.1628122109158117E-2</v>
      </c>
      <c r="N46" s="18">
        <f t="shared" si="19"/>
        <v>4.2628774422735383E-2</v>
      </c>
      <c r="O46" s="18">
        <f t="shared" si="19"/>
        <v>4.1737649063032345E-2</v>
      </c>
      <c r="P46" s="18">
        <f t="shared" si="19"/>
        <v>4.2518397383483286E-2</v>
      </c>
      <c r="Q46" s="18">
        <f t="shared" si="19"/>
        <v>4.1568627450980333E-2</v>
      </c>
      <c r="R46" s="18">
        <f t="shared" si="19"/>
        <v>4.2168674698795261E-2</v>
      </c>
      <c r="S46" s="18">
        <f t="shared" si="19"/>
        <v>4.1907514450867156E-2</v>
      </c>
      <c r="T46" s="18">
        <f t="shared" si="19"/>
        <v>4.23023578363384E-2</v>
      </c>
      <c r="U46" s="18">
        <f t="shared" si="19"/>
        <v>4.1916167664670656E-2</v>
      </c>
    </row>
    <row r="47" spans="1:27" ht="15" x14ac:dyDescent="0.25">
      <c r="A47" s="1" t="s">
        <v>39</v>
      </c>
      <c r="B47" s="1" t="s">
        <v>10</v>
      </c>
      <c r="C47">
        <f>SUMIF(PoolPlan_PeakProj!$A$25:$A$36,TAN!$A$2,PoolPlan_PeakProj!C$25:C$36)</f>
        <v>728</v>
      </c>
      <c r="D47">
        <f>SUMIF(PoolPlan_PeakProj!$A$25:$A$36,TAN!$A$2,PoolPlan_PeakProj!D$25:D$36)</f>
        <v>772</v>
      </c>
      <c r="E47">
        <f>SUMIF(PoolPlan_PeakProj!$A$25:$A$36,TAN!$A$2,PoolPlan_PeakProj!E$25:E$36)</f>
        <v>810</v>
      </c>
      <c r="F47">
        <f>SUMIF(PoolPlan_PeakProj!$A$25:$A$36,TAN!$A$2,PoolPlan_PeakProj!F$25:F$36)</f>
        <v>844</v>
      </c>
      <c r="G47">
        <f>SUMIF(PoolPlan_PeakProj!$A$25:$A$36,TAN!$A$2,PoolPlan_PeakProj!G$25:G$36)</f>
        <v>879</v>
      </c>
      <c r="H47">
        <f>SUMIF(PoolPlan_PeakProj!$A$25:$A$36,TAN!$A$2,PoolPlan_PeakProj!H$25:H$36)</f>
        <v>916</v>
      </c>
      <c r="I47">
        <f>SUMIF(PoolPlan_PeakProj!$A$25:$A$36,TAN!$A$2,PoolPlan_PeakProj!I$25:I$36)</f>
        <v>955</v>
      </c>
      <c r="J47">
        <f>SUMIF(PoolPlan_PeakProj!$A$25:$A$36,TAN!$A$2,PoolPlan_PeakProj!J$25:J$36)</f>
        <v>995</v>
      </c>
      <c r="K47">
        <f>SUMIF(PoolPlan_PeakProj!$A$25:$A$36,TAN!$A$2,PoolPlan_PeakProj!K$25:K$36)</f>
        <v>1037</v>
      </c>
      <c r="L47">
        <f>SUMIF(PoolPlan_PeakProj!$A$25:$A$36,TAN!$A$2,PoolPlan_PeakProj!L$25:L$36)</f>
        <v>1081</v>
      </c>
      <c r="M47">
        <f>SUMIF(PoolPlan_PeakProj!$A$25:$A$36,TAN!$A$2,PoolPlan_PeakProj!M$25:M$36)</f>
        <v>1126</v>
      </c>
      <c r="N47">
        <f>SUMIF(PoolPlan_PeakProj!$A$25:$A$36,TAN!$A$2,PoolPlan_PeakProj!N$25:N$36)</f>
        <v>1174</v>
      </c>
      <c r="O47">
        <f>SUMIF(PoolPlan_PeakProj!$A$25:$A$36,TAN!$A$2,PoolPlan_PeakProj!O$25:O$36)</f>
        <v>1223</v>
      </c>
      <c r="P47">
        <f>SUMIF(PoolPlan_PeakProj!$A$25:$A$36,TAN!$A$2,PoolPlan_PeakProj!P$25:P$36)</f>
        <v>1275</v>
      </c>
      <c r="Q47">
        <f>SUMIF(PoolPlan_PeakProj!$A$25:$A$36,TAN!$A$2,PoolPlan_PeakProj!Q$25:Q$36)</f>
        <v>1328</v>
      </c>
      <c r="R47">
        <f>SUMIF(PoolPlan_PeakProj!$A$25:$A$36,TAN!$A$2,PoolPlan_PeakProj!R$25:R$36)</f>
        <v>1384</v>
      </c>
      <c r="S47">
        <f>SUMIF(PoolPlan_PeakProj!$A$25:$A$36,TAN!$A$2,PoolPlan_PeakProj!S$25:S$36)</f>
        <v>1442</v>
      </c>
      <c r="T47">
        <f>SUMIF(PoolPlan_PeakProj!$A$25:$A$36,TAN!$A$2,PoolPlan_PeakProj!T$25:T$36)</f>
        <v>1503</v>
      </c>
      <c r="U47">
        <f>SUMIF(PoolPlan_PeakProj!$A$25:$A$36,TAN!$A$2,PoolPlan_PeakProj!U$25:U$36)</f>
        <v>1566</v>
      </c>
    </row>
    <row r="48" spans="1:27" x14ac:dyDescent="0.2">
      <c r="A48" s="1" t="s">
        <v>11</v>
      </c>
      <c r="B48" s="1"/>
      <c r="D48" s="18">
        <f>D47/C47-1</f>
        <v>6.0439560439560447E-2</v>
      </c>
      <c r="E48" s="18">
        <f t="shared" ref="E48:U48" si="20">E47/D47-1</f>
        <v>4.9222797927461093E-2</v>
      </c>
      <c r="F48" s="18">
        <f t="shared" si="20"/>
        <v>4.1975308641975406E-2</v>
      </c>
      <c r="G48" s="18">
        <f t="shared" si="20"/>
        <v>4.1469194312796276E-2</v>
      </c>
      <c r="H48" s="18">
        <f t="shared" si="20"/>
        <v>4.2093287827076331E-2</v>
      </c>
      <c r="I48" s="18">
        <f t="shared" si="20"/>
        <v>4.2576419213973704E-2</v>
      </c>
      <c r="J48" s="18">
        <f t="shared" si="20"/>
        <v>4.1884816753926746E-2</v>
      </c>
      <c r="K48" s="18">
        <f t="shared" si="20"/>
        <v>4.2211055276381915E-2</v>
      </c>
      <c r="L48" s="18">
        <f t="shared" si="20"/>
        <v>4.2430086788813881E-2</v>
      </c>
      <c r="M48" s="18">
        <f t="shared" si="20"/>
        <v>4.1628122109158117E-2</v>
      </c>
      <c r="N48" s="18">
        <f t="shared" si="20"/>
        <v>4.2628774422735383E-2</v>
      </c>
      <c r="O48" s="18">
        <f t="shared" si="20"/>
        <v>4.1737649063032345E-2</v>
      </c>
      <c r="P48" s="18">
        <f t="shared" si="20"/>
        <v>4.2518397383483286E-2</v>
      </c>
      <c r="Q48" s="18">
        <f t="shared" si="20"/>
        <v>4.1568627450980333E-2</v>
      </c>
      <c r="R48" s="18">
        <f t="shared" si="20"/>
        <v>4.2168674698795261E-2</v>
      </c>
      <c r="S48" s="18">
        <f t="shared" si="20"/>
        <v>4.1907514450867156E-2</v>
      </c>
      <c r="T48" s="18">
        <f t="shared" si="20"/>
        <v>4.23023578363384E-2</v>
      </c>
      <c r="U48" s="18">
        <f t="shared" si="20"/>
        <v>4.1916167664670656E-2</v>
      </c>
    </row>
    <row r="49" spans="1:20" x14ac:dyDescent="0.2">
      <c r="A49" s="1" t="s">
        <v>70</v>
      </c>
      <c r="B49" s="1" t="s">
        <v>12</v>
      </c>
      <c r="D49" s="18">
        <f t="shared" ref="D49:T49" si="21">D40/(D45*8.76)</f>
        <v>0.65269595665649327</v>
      </c>
      <c r="E49" s="18">
        <f t="shared" si="21"/>
        <v>0.6522351880038334</v>
      </c>
      <c r="F49" s="18">
        <f t="shared" si="21"/>
        <v>0.65192927784630705</v>
      </c>
      <c r="G49" s="18">
        <f t="shared" si="21"/>
        <v>0.6520745346777419</v>
      </c>
      <c r="H49" s="18">
        <f t="shared" si="21"/>
        <v>0.65178161950908253</v>
      </c>
      <c r="I49" s="18">
        <f t="shared" si="21"/>
        <v>0.65122283583160012</v>
      </c>
      <c r="J49" s="18">
        <f t="shared" si="21"/>
        <v>0.65108648264151814</v>
      </c>
      <c r="K49" s="18">
        <f t="shared" si="21"/>
        <v>0.65069593972778883</v>
      </c>
      <c r="L49" s="18">
        <f t="shared" si="21"/>
        <v>0.65029420585539355</v>
      </c>
      <c r="M49" s="18">
        <f t="shared" si="21"/>
        <v>0.65036051161017705</v>
      </c>
      <c r="N49" s="18">
        <f t="shared" si="21"/>
        <v>0.6498292533040847</v>
      </c>
      <c r="O49" s="18">
        <f t="shared" si="21"/>
        <v>0.649835534298846</v>
      </c>
      <c r="P49" s="18">
        <f t="shared" si="21"/>
        <v>0.64929716178708929</v>
      </c>
      <c r="Q49" s="18">
        <f t="shared" si="21"/>
        <v>0.64942991142652806</v>
      </c>
      <c r="R49" s="18">
        <f t="shared" si="21"/>
        <v>0.64921674980864152</v>
      </c>
      <c r="S49" s="18">
        <f t="shared" si="21"/>
        <v>0.6491491396398964</v>
      </c>
      <c r="T49" s="18">
        <f t="shared" si="21"/>
        <v>0.64885449800551109</v>
      </c>
    </row>
    <row r="50" spans="1:20" x14ac:dyDescent="0.2">
      <c r="A50" s="1" t="s">
        <v>41</v>
      </c>
      <c r="C50" s="18">
        <f t="shared" ref="C50:T50" si="22">C42/(C47*8.76)</f>
        <v>0.65404059410908733</v>
      </c>
      <c r="D50" s="18">
        <f t="shared" si="22"/>
        <v>0.65269595665649327</v>
      </c>
      <c r="E50" s="18">
        <f t="shared" si="22"/>
        <v>0.6522351880038334</v>
      </c>
      <c r="F50" s="18">
        <f t="shared" si="22"/>
        <v>0.65192927784630705</v>
      </c>
      <c r="G50" s="18">
        <f t="shared" si="22"/>
        <v>0.6520745346777419</v>
      </c>
      <c r="H50" s="18">
        <f t="shared" si="22"/>
        <v>0.65178161950908253</v>
      </c>
      <c r="I50" s="18">
        <f t="shared" si="22"/>
        <v>0.65122283583160012</v>
      </c>
      <c r="J50" s="18">
        <f t="shared" si="22"/>
        <v>0.65108648264151814</v>
      </c>
      <c r="K50" s="18">
        <f t="shared" si="22"/>
        <v>0.65069593972778883</v>
      </c>
      <c r="L50" s="18">
        <f t="shared" si="22"/>
        <v>0.65029420585539355</v>
      </c>
      <c r="M50" s="18">
        <f t="shared" si="22"/>
        <v>0.65036051161017705</v>
      </c>
      <c r="N50" s="18">
        <f t="shared" si="22"/>
        <v>0.6498292533040847</v>
      </c>
      <c r="O50" s="18">
        <f t="shared" si="22"/>
        <v>0.649835534298846</v>
      </c>
      <c r="P50" s="18">
        <f t="shared" si="22"/>
        <v>0.64929716178708929</v>
      </c>
      <c r="Q50" s="18">
        <f t="shared" si="22"/>
        <v>0.64942991142652806</v>
      </c>
      <c r="R50" s="18">
        <f t="shared" si="22"/>
        <v>0.64921674980864152</v>
      </c>
      <c r="S50" s="18">
        <f t="shared" si="22"/>
        <v>0.6491491396398964</v>
      </c>
      <c r="T50" s="18">
        <f t="shared" si="22"/>
        <v>0.64885449800551109</v>
      </c>
    </row>
    <row r="51" spans="1:20" x14ac:dyDescent="0.2">
      <c r="A51" s="1" t="s">
        <v>114</v>
      </c>
      <c r="C51" s="18"/>
      <c r="D51" s="16">
        <f>D50/C50-1</f>
        <v>-2.0558929594052255E-3</v>
      </c>
      <c r="E51" s="16">
        <f t="shared" ref="E51:T51" si="23">E50/D50-1</f>
        <v>-7.0594684701308363E-4</v>
      </c>
      <c r="F51" s="16">
        <f t="shared" si="23"/>
        <v>-4.6901817496625142E-4</v>
      </c>
      <c r="G51" s="16">
        <f t="shared" si="23"/>
        <v>2.2281071946128606E-4</v>
      </c>
      <c r="H51" s="16">
        <f t="shared" si="23"/>
        <v>-4.4920504188084021E-4</v>
      </c>
      <c r="I51" s="16">
        <f t="shared" si="23"/>
        <v>-8.5731732954252848E-4</v>
      </c>
      <c r="J51" s="16">
        <f t="shared" si="23"/>
        <v>-2.0938023450589593E-4</v>
      </c>
      <c r="K51" s="16">
        <f t="shared" si="23"/>
        <v>-5.998326246074992E-4</v>
      </c>
      <c r="L51" s="16">
        <f t="shared" si="23"/>
        <v>-6.173910852483866E-4</v>
      </c>
      <c r="M51" s="16">
        <f t="shared" si="23"/>
        <v>1.019627027065706E-4</v>
      </c>
      <c r="N51" s="16">
        <f t="shared" si="23"/>
        <v>-8.1686740908826216E-4</v>
      </c>
      <c r="O51" s="16">
        <f t="shared" si="23"/>
        <v>9.6656078951706803E-6</v>
      </c>
      <c r="P51" s="16">
        <f t="shared" si="23"/>
        <v>-8.2847502689675778E-4</v>
      </c>
      <c r="Q51" s="16">
        <f t="shared" si="23"/>
        <v>2.0445128556145775E-4</v>
      </c>
      <c r="R51" s="16">
        <f t="shared" si="23"/>
        <v>-3.2822882675409559E-4</v>
      </c>
      <c r="S51" s="16">
        <f t="shared" si="23"/>
        <v>-1.0414113432077876E-4</v>
      </c>
      <c r="T51" s="16">
        <f t="shared" si="23"/>
        <v>-4.5388897002740514E-4</v>
      </c>
    </row>
    <row r="52" spans="1:20" ht="15" x14ac:dyDescent="0.25">
      <c r="A52" s="1" t="s">
        <v>84</v>
      </c>
      <c r="B52" s="1" t="s">
        <v>10</v>
      </c>
      <c r="C52" s="38">
        <f>VLOOKUP($A$2,AR2008_Stats!$B$4:$O$15,AR2008_Stats!E$1,FALSE)</f>
        <v>680</v>
      </c>
    </row>
    <row r="53" spans="1:20" ht="15" x14ac:dyDescent="0.25">
      <c r="A53" s="1" t="s">
        <v>83</v>
      </c>
      <c r="B53" s="1" t="s">
        <v>10</v>
      </c>
      <c r="C53" s="74">
        <f>VLOOKUP($A$2,'[1]Total Existing Capacity'!$A$3:$J$14,5,FALSE)</f>
        <v>1280</v>
      </c>
    </row>
    <row r="55" spans="1:20" x14ac:dyDescent="0.2">
      <c r="A55" s="3" t="s">
        <v>71</v>
      </c>
    </row>
    <row r="56" spans="1:20" x14ac:dyDescent="0.2">
      <c r="A56" s="2" t="s">
        <v>72</v>
      </c>
    </row>
    <row r="57" spans="1:20" x14ac:dyDescent="0.2">
      <c r="A57" s="2" t="s">
        <v>73</v>
      </c>
    </row>
    <row r="59" spans="1:20" x14ac:dyDescent="0.2">
      <c r="A59" s="3" t="s">
        <v>80</v>
      </c>
    </row>
    <row r="60" spans="1:20" ht="15" x14ac:dyDescent="0.25">
      <c r="A60" t="s">
        <v>13</v>
      </c>
      <c r="B60" s="2" t="s">
        <v>97</v>
      </c>
    </row>
    <row r="61" spans="1:20" ht="15" x14ac:dyDescent="0.25">
      <c r="A61" t="s">
        <v>14</v>
      </c>
      <c r="B61" s="2" t="s">
        <v>98</v>
      </c>
    </row>
    <row r="62" spans="1:20" ht="15" x14ac:dyDescent="0.25">
      <c r="A62" t="s">
        <v>15</v>
      </c>
      <c r="B62" s="2" t="s">
        <v>32</v>
      </c>
    </row>
    <row r="63" spans="1:20" ht="15" x14ac:dyDescent="0.25">
      <c r="A63" t="s">
        <v>16</v>
      </c>
      <c r="B63" s="2" t="s">
        <v>99</v>
      </c>
    </row>
    <row r="64" spans="1:20" ht="15" x14ac:dyDescent="0.25">
      <c r="A64" t="s">
        <v>17</v>
      </c>
      <c r="B64" s="2" t="s">
        <v>100</v>
      </c>
    </row>
    <row r="65" spans="1:2" ht="15" x14ac:dyDescent="0.25">
      <c r="A65" t="s">
        <v>18</v>
      </c>
      <c r="B65" s="2" t="s">
        <v>101</v>
      </c>
    </row>
    <row r="66" spans="1:2" ht="15" x14ac:dyDescent="0.25">
      <c r="A66" t="s">
        <v>19</v>
      </c>
      <c r="B66" s="2" t="s">
        <v>102</v>
      </c>
    </row>
    <row r="67" spans="1:2" ht="15" x14ac:dyDescent="0.25">
      <c r="A67" t="s">
        <v>21</v>
      </c>
      <c r="B67" s="2" t="s">
        <v>103</v>
      </c>
    </row>
    <row r="68" spans="1:2" ht="15" x14ac:dyDescent="0.25">
      <c r="A68" t="s">
        <v>22</v>
      </c>
      <c r="B68" s="2" t="s">
        <v>104</v>
      </c>
    </row>
    <row r="69" spans="1:2" ht="15" x14ac:dyDescent="0.25">
      <c r="A69" t="s">
        <v>23</v>
      </c>
      <c r="B69" s="2" t="s">
        <v>105</v>
      </c>
    </row>
    <row r="70" spans="1:2" ht="15" x14ac:dyDescent="0.25">
      <c r="A70" t="s">
        <v>24</v>
      </c>
      <c r="B70" s="2" t="s">
        <v>106</v>
      </c>
    </row>
    <row r="71" spans="1:2" ht="15" x14ac:dyDescent="0.25">
      <c r="A71" t="s">
        <v>20</v>
      </c>
      <c r="B71" s="2" t="s">
        <v>107</v>
      </c>
    </row>
  </sheetData>
  <dataValidations count="4">
    <dataValidation type="list" allowBlank="1" showInputMessage="1" showErrorMessage="1" sqref="B18">
      <formula1>$B$60:$B$71</formula1>
    </dataValidation>
    <dataValidation type="list" allowBlank="1" showInputMessage="1" showErrorMessage="1" sqref="B13:B17">
      <formula1>$B$60:$B$72</formula1>
    </dataValidation>
    <dataValidation type="list" allowBlank="1" showInputMessage="1" showErrorMessage="1" sqref="B3">
      <formula1>$A$56:$A$57</formula1>
    </dataValidation>
    <dataValidation type="list" allowBlank="1" showInputMessage="1" showErrorMessage="1" sqref="A2">
      <formula1>$A$60:$A$71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D71"/>
  <sheetViews>
    <sheetView workbookViewId="0"/>
  </sheetViews>
  <sheetFormatPr defaultRowHeight="12.75" x14ac:dyDescent="0.2"/>
  <cols>
    <col min="1" max="1" width="66.140625" style="2" customWidth="1"/>
    <col min="2" max="2" width="9.140625" style="2"/>
    <col min="3" max="26" width="11.28515625" style="2" bestFit="1" customWidth="1"/>
    <col min="27" max="27" width="9.85546875" style="2" customWidth="1"/>
    <col min="28" max="253" width="9.140625" style="2"/>
    <col min="254" max="254" width="66.140625" style="2" customWidth="1"/>
    <col min="255" max="257" width="9.140625" style="2"/>
    <col min="258" max="258" width="9.7109375" style="2" customWidth="1"/>
    <col min="259" max="282" width="11.28515625" style="2" bestFit="1" customWidth="1"/>
    <col min="283" max="509" width="9.140625" style="2"/>
    <col min="510" max="510" width="66.140625" style="2" customWidth="1"/>
    <col min="511" max="513" width="9.140625" style="2"/>
    <col min="514" max="514" width="9.7109375" style="2" customWidth="1"/>
    <col min="515" max="538" width="11.28515625" style="2" bestFit="1" customWidth="1"/>
    <col min="539" max="765" width="9.140625" style="2"/>
    <col min="766" max="766" width="66.140625" style="2" customWidth="1"/>
    <col min="767" max="769" width="9.140625" style="2"/>
    <col min="770" max="770" width="9.7109375" style="2" customWidth="1"/>
    <col min="771" max="794" width="11.28515625" style="2" bestFit="1" customWidth="1"/>
    <col min="795" max="1021" width="9.140625" style="2"/>
    <col min="1022" max="1022" width="66.140625" style="2" customWidth="1"/>
    <col min="1023" max="1025" width="9.140625" style="2"/>
    <col min="1026" max="1026" width="9.7109375" style="2" customWidth="1"/>
    <col min="1027" max="1050" width="11.28515625" style="2" bestFit="1" customWidth="1"/>
    <col min="1051" max="1277" width="9.140625" style="2"/>
    <col min="1278" max="1278" width="66.140625" style="2" customWidth="1"/>
    <col min="1279" max="1281" width="9.140625" style="2"/>
    <col min="1282" max="1282" width="9.7109375" style="2" customWidth="1"/>
    <col min="1283" max="1306" width="11.28515625" style="2" bestFit="1" customWidth="1"/>
    <col min="1307" max="1533" width="9.140625" style="2"/>
    <col min="1534" max="1534" width="66.140625" style="2" customWidth="1"/>
    <col min="1535" max="1537" width="9.140625" style="2"/>
    <col min="1538" max="1538" width="9.7109375" style="2" customWidth="1"/>
    <col min="1539" max="1562" width="11.28515625" style="2" bestFit="1" customWidth="1"/>
    <col min="1563" max="1789" width="9.140625" style="2"/>
    <col min="1790" max="1790" width="66.140625" style="2" customWidth="1"/>
    <col min="1791" max="1793" width="9.140625" style="2"/>
    <col min="1794" max="1794" width="9.7109375" style="2" customWidth="1"/>
    <col min="1795" max="1818" width="11.28515625" style="2" bestFit="1" customWidth="1"/>
    <col min="1819" max="2045" width="9.140625" style="2"/>
    <col min="2046" max="2046" width="66.140625" style="2" customWidth="1"/>
    <col min="2047" max="2049" width="9.140625" style="2"/>
    <col min="2050" max="2050" width="9.7109375" style="2" customWidth="1"/>
    <col min="2051" max="2074" width="11.28515625" style="2" bestFit="1" customWidth="1"/>
    <col min="2075" max="2301" width="9.140625" style="2"/>
    <col min="2302" max="2302" width="66.140625" style="2" customWidth="1"/>
    <col min="2303" max="2305" width="9.140625" style="2"/>
    <col min="2306" max="2306" width="9.7109375" style="2" customWidth="1"/>
    <col min="2307" max="2330" width="11.28515625" style="2" bestFit="1" customWidth="1"/>
    <col min="2331" max="2557" width="9.140625" style="2"/>
    <col min="2558" max="2558" width="66.140625" style="2" customWidth="1"/>
    <col min="2559" max="2561" width="9.140625" style="2"/>
    <col min="2562" max="2562" width="9.7109375" style="2" customWidth="1"/>
    <col min="2563" max="2586" width="11.28515625" style="2" bestFit="1" customWidth="1"/>
    <col min="2587" max="2813" width="9.140625" style="2"/>
    <col min="2814" max="2814" width="66.140625" style="2" customWidth="1"/>
    <col min="2815" max="2817" width="9.140625" style="2"/>
    <col min="2818" max="2818" width="9.7109375" style="2" customWidth="1"/>
    <col min="2819" max="2842" width="11.28515625" style="2" bestFit="1" customWidth="1"/>
    <col min="2843" max="3069" width="9.140625" style="2"/>
    <col min="3070" max="3070" width="66.140625" style="2" customWidth="1"/>
    <col min="3071" max="3073" width="9.140625" style="2"/>
    <col min="3074" max="3074" width="9.7109375" style="2" customWidth="1"/>
    <col min="3075" max="3098" width="11.28515625" style="2" bestFit="1" customWidth="1"/>
    <col min="3099" max="3325" width="9.140625" style="2"/>
    <col min="3326" max="3326" width="66.140625" style="2" customWidth="1"/>
    <col min="3327" max="3329" width="9.140625" style="2"/>
    <col min="3330" max="3330" width="9.7109375" style="2" customWidth="1"/>
    <col min="3331" max="3354" width="11.28515625" style="2" bestFit="1" customWidth="1"/>
    <col min="3355" max="3581" width="9.140625" style="2"/>
    <col min="3582" max="3582" width="66.140625" style="2" customWidth="1"/>
    <col min="3583" max="3585" width="9.140625" style="2"/>
    <col min="3586" max="3586" width="9.7109375" style="2" customWidth="1"/>
    <col min="3587" max="3610" width="11.28515625" style="2" bestFit="1" customWidth="1"/>
    <col min="3611" max="3837" width="9.140625" style="2"/>
    <col min="3838" max="3838" width="66.140625" style="2" customWidth="1"/>
    <col min="3839" max="3841" width="9.140625" style="2"/>
    <col min="3842" max="3842" width="9.7109375" style="2" customWidth="1"/>
    <col min="3843" max="3866" width="11.28515625" style="2" bestFit="1" customWidth="1"/>
    <col min="3867" max="4093" width="9.140625" style="2"/>
    <col min="4094" max="4094" width="66.140625" style="2" customWidth="1"/>
    <col min="4095" max="4097" width="9.140625" style="2"/>
    <col min="4098" max="4098" width="9.7109375" style="2" customWidth="1"/>
    <col min="4099" max="4122" width="11.28515625" style="2" bestFit="1" customWidth="1"/>
    <col min="4123" max="4349" width="9.140625" style="2"/>
    <col min="4350" max="4350" width="66.140625" style="2" customWidth="1"/>
    <col min="4351" max="4353" width="9.140625" style="2"/>
    <col min="4354" max="4354" width="9.7109375" style="2" customWidth="1"/>
    <col min="4355" max="4378" width="11.28515625" style="2" bestFit="1" customWidth="1"/>
    <col min="4379" max="4605" width="9.140625" style="2"/>
    <col min="4606" max="4606" width="66.140625" style="2" customWidth="1"/>
    <col min="4607" max="4609" width="9.140625" style="2"/>
    <col min="4610" max="4610" width="9.7109375" style="2" customWidth="1"/>
    <col min="4611" max="4634" width="11.28515625" style="2" bestFit="1" customWidth="1"/>
    <col min="4635" max="4861" width="9.140625" style="2"/>
    <col min="4862" max="4862" width="66.140625" style="2" customWidth="1"/>
    <col min="4863" max="4865" width="9.140625" style="2"/>
    <col min="4866" max="4866" width="9.7109375" style="2" customWidth="1"/>
    <col min="4867" max="4890" width="11.28515625" style="2" bestFit="1" customWidth="1"/>
    <col min="4891" max="5117" width="9.140625" style="2"/>
    <col min="5118" max="5118" width="66.140625" style="2" customWidth="1"/>
    <col min="5119" max="5121" width="9.140625" style="2"/>
    <col min="5122" max="5122" width="9.7109375" style="2" customWidth="1"/>
    <col min="5123" max="5146" width="11.28515625" style="2" bestFit="1" customWidth="1"/>
    <col min="5147" max="5373" width="9.140625" style="2"/>
    <col min="5374" max="5374" width="66.140625" style="2" customWidth="1"/>
    <col min="5375" max="5377" width="9.140625" style="2"/>
    <col min="5378" max="5378" width="9.7109375" style="2" customWidth="1"/>
    <col min="5379" max="5402" width="11.28515625" style="2" bestFit="1" customWidth="1"/>
    <col min="5403" max="5629" width="9.140625" style="2"/>
    <col min="5630" max="5630" width="66.140625" style="2" customWidth="1"/>
    <col min="5631" max="5633" width="9.140625" style="2"/>
    <col min="5634" max="5634" width="9.7109375" style="2" customWidth="1"/>
    <col min="5635" max="5658" width="11.28515625" style="2" bestFit="1" customWidth="1"/>
    <col min="5659" max="5885" width="9.140625" style="2"/>
    <col min="5886" max="5886" width="66.140625" style="2" customWidth="1"/>
    <col min="5887" max="5889" width="9.140625" style="2"/>
    <col min="5890" max="5890" width="9.7109375" style="2" customWidth="1"/>
    <col min="5891" max="5914" width="11.28515625" style="2" bestFit="1" customWidth="1"/>
    <col min="5915" max="6141" width="9.140625" style="2"/>
    <col min="6142" max="6142" width="66.140625" style="2" customWidth="1"/>
    <col min="6143" max="6145" width="9.140625" style="2"/>
    <col min="6146" max="6146" width="9.7109375" style="2" customWidth="1"/>
    <col min="6147" max="6170" width="11.28515625" style="2" bestFit="1" customWidth="1"/>
    <col min="6171" max="6397" width="9.140625" style="2"/>
    <col min="6398" max="6398" width="66.140625" style="2" customWidth="1"/>
    <col min="6399" max="6401" width="9.140625" style="2"/>
    <col min="6402" max="6402" width="9.7109375" style="2" customWidth="1"/>
    <col min="6403" max="6426" width="11.28515625" style="2" bestFit="1" customWidth="1"/>
    <col min="6427" max="6653" width="9.140625" style="2"/>
    <col min="6654" max="6654" width="66.140625" style="2" customWidth="1"/>
    <col min="6655" max="6657" width="9.140625" style="2"/>
    <col min="6658" max="6658" width="9.7109375" style="2" customWidth="1"/>
    <col min="6659" max="6682" width="11.28515625" style="2" bestFit="1" customWidth="1"/>
    <col min="6683" max="6909" width="9.140625" style="2"/>
    <col min="6910" max="6910" width="66.140625" style="2" customWidth="1"/>
    <col min="6911" max="6913" width="9.140625" style="2"/>
    <col min="6914" max="6914" width="9.7109375" style="2" customWidth="1"/>
    <col min="6915" max="6938" width="11.28515625" style="2" bestFit="1" customWidth="1"/>
    <col min="6939" max="7165" width="9.140625" style="2"/>
    <col min="7166" max="7166" width="66.140625" style="2" customWidth="1"/>
    <col min="7167" max="7169" width="9.140625" style="2"/>
    <col min="7170" max="7170" width="9.7109375" style="2" customWidth="1"/>
    <col min="7171" max="7194" width="11.28515625" style="2" bestFit="1" customWidth="1"/>
    <col min="7195" max="7421" width="9.140625" style="2"/>
    <col min="7422" max="7422" width="66.140625" style="2" customWidth="1"/>
    <col min="7423" max="7425" width="9.140625" style="2"/>
    <col min="7426" max="7426" width="9.7109375" style="2" customWidth="1"/>
    <col min="7427" max="7450" width="11.28515625" style="2" bestFit="1" customWidth="1"/>
    <col min="7451" max="7677" width="9.140625" style="2"/>
    <col min="7678" max="7678" width="66.140625" style="2" customWidth="1"/>
    <col min="7679" max="7681" width="9.140625" style="2"/>
    <col min="7682" max="7682" width="9.7109375" style="2" customWidth="1"/>
    <col min="7683" max="7706" width="11.28515625" style="2" bestFit="1" customWidth="1"/>
    <col min="7707" max="7933" width="9.140625" style="2"/>
    <col min="7934" max="7934" width="66.140625" style="2" customWidth="1"/>
    <col min="7935" max="7937" width="9.140625" style="2"/>
    <col min="7938" max="7938" width="9.7109375" style="2" customWidth="1"/>
    <col min="7939" max="7962" width="11.28515625" style="2" bestFit="1" customWidth="1"/>
    <col min="7963" max="8189" width="9.140625" style="2"/>
    <col min="8190" max="8190" width="66.140625" style="2" customWidth="1"/>
    <col min="8191" max="8193" width="9.140625" style="2"/>
    <col min="8194" max="8194" width="9.7109375" style="2" customWidth="1"/>
    <col min="8195" max="8218" width="11.28515625" style="2" bestFit="1" customWidth="1"/>
    <col min="8219" max="8445" width="9.140625" style="2"/>
    <col min="8446" max="8446" width="66.140625" style="2" customWidth="1"/>
    <col min="8447" max="8449" width="9.140625" style="2"/>
    <col min="8450" max="8450" width="9.7109375" style="2" customWidth="1"/>
    <col min="8451" max="8474" width="11.28515625" style="2" bestFit="1" customWidth="1"/>
    <col min="8475" max="8701" width="9.140625" style="2"/>
    <col min="8702" max="8702" width="66.140625" style="2" customWidth="1"/>
    <col min="8703" max="8705" width="9.140625" style="2"/>
    <col min="8706" max="8706" width="9.7109375" style="2" customWidth="1"/>
    <col min="8707" max="8730" width="11.28515625" style="2" bestFit="1" customWidth="1"/>
    <col min="8731" max="8957" width="9.140625" style="2"/>
    <col min="8958" max="8958" width="66.140625" style="2" customWidth="1"/>
    <col min="8959" max="8961" width="9.140625" style="2"/>
    <col min="8962" max="8962" width="9.7109375" style="2" customWidth="1"/>
    <col min="8963" max="8986" width="11.28515625" style="2" bestFit="1" customWidth="1"/>
    <col min="8987" max="9213" width="9.140625" style="2"/>
    <col min="9214" max="9214" width="66.140625" style="2" customWidth="1"/>
    <col min="9215" max="9217" width="9.140625" style="2"/>
    <col min="9218" max="9218" width="9.7109375" style="2" customWidth="1"/>
    <col min="9219" max="9242" width="11.28515625" style="2" bestFit="1" customWidth="1"/>
    <col min="9243" max="9469" width="9.140625" style="2"/>
    <col min="9470" max="9470" width="66.140625" style="2" customWidth="1"/>
    <col min="9471" max="9473" width="9.140625" style="2"/>
    <col min="9474" max="9474" width="9.7109375" style="2" customWidth="1"/>
    <col min="9475" max="9498" width="11.28515625" style="2" bestFit="1" customWidth="1"/>
    <col min="9499" max="9725" width="9.140625" style="2"/>
    <col min="9726" max="9726" width="66.140625" style="2" customWidth="1"/>
    <col min="9727" max="9729" width="9.140625" style="2"/>
    <col min="9730" max="9730" width="9.7109375" style="2" customWidth="1"/>
    <col min="9731" max="9754" width="11.28515625" style="2" bestFit="1" customWidth="1"/>
    <col min="9755" max="9981" width="9.140625" style="2"/>
    <col min="9982" max="9982" width="66.140625" style="2" customWidth="1"/>
    <col min="9983" max="9985" width="9.140625" style="2"/>
    <col min="9986" max="9986" width="9.7109375" style="2" customWidth="1"/>
    <col min="9987" max="10010" width="11.28515625" style="2" bestFit="1" customWidth="1"/>
    <col min="10011" max="10237" width="9.140625" style="2"/>
    <col min="10238" max="10238" width="66.140625" style="2" customWidth="1"/>
    <col min="10239" max="10241" width="9.140625" style="2"/>
    <col min="10242" max="10242" width="9.7109375" style="2" customWidth="1"/>
    <col min="10243" max="10266" width="11.28515625" style="2" bestFit="1" customWidth="1"/>
    <col min="10267" max="10493" width="9.140625" style="2"/>
    <col min="10494" max="10494" width="66.140625" style="2" customWidth="1"/>
    <col min="10495" max="10497" width="9.140625" style="2"/>
    <col min="10498" max="10498" width="9.7109375" style="2" customWidth="1"/>
    <col min="10499" max="10522" width="11.28515625" style="2" bestFit="1" customWidth="1"/>
    <col min="10523" max="10749" width="9.140625" style="2"/>
    <col min="10750" max="10750" width="66.140625" style="2" customWidth="1"/>
    <col min="10751" max="10753" width="9.140625" style="2"/>
    <col min="10754" max="10754" width="9.7109375" style="2" customWidth="1"/>
    <col min="10755" max="10778" width="11.28515625" style="2" bestFit="1" customWidth="1"/>
    <col min="10779" max="11005" width="9.140625" style="2"/>
    <col min="11006" max="11006" width="66.140625" style="2" customWidth="1"/>
    <col min="11007" max="11009" width="9.140625" style="2"/>
    <col min="11010" max="11010" width="9.7109375" style="2" customWidth="1"/>
    <col min="11011" max="11034" width="11.28515625" style="2" bestFit="1" customWidth="1"/>
    <col min="11035" max="11261" width="9.140625" style="2"/>
    <col min="11262" max="11262" width="66.140625" style="2" customWidth="1"/>
    <col min="11263" max="11265" width="9.140625" style="2"/>
    <col min="11266" max="11266" width="9.7109375" style="2" customWidth="1"/>
    <col min="11267" max="11290" width="11.28515625" style="2" bestFit="1" customWidth="1"/>
    <col min="11291" max="11517" width="9.140625" style="2"/>
    <col min="11518" max="11518" width="66.140625" style="2" customWidth="1"/>
    <col min="11519" max="11521" width="9.140625" style="2"/>
    <col min="11522" max="11522" width="9.7109375" style="2" customWidth="1"/>
    <col min="11523" max="11546" width="11.28515625" style="2" bestFit="1" customWidth="1"/>
    <col min="11547" max="11773" width="9.140625" style="2"/>
    <col min="11774" max="11774" width="66.140625" style="2" customWidth="1"/>
    <col min="11775" max="11777" width="9.140625" style="2"/>
    <col min="11778" max="11778" width="9.7109375" style="2" customWidth="1"/>
    <col min="11779" max="11802" width="11.28515625" style="2" bestFit="1" customWidth="1"/>
    <col min="11803" max="12029" width="9.140625" style="2"/>
    <col min="12030" max="12030" width="66.140625" style="2" customWidth="1"/>
    <col min="12031" max="12033" width="9.140625" style="2"/>
    <col min="12034" max="12034" width="9.7109375" style="2" customWidth="1"/>
    <col min="12035" max="12058" width="11.28515625" style="2" bestFit="1" customWidth="1"/>
    <col min="12059" max="12285" width="9.140625" style="2"/>
    <col min="12286" max="12286" width="66.140625" style="2" customWidth="1"/>
    <col min="12287" max="12289" width="9.140625" style="2"/>
    <col min="12290" max="12290" width="9.7109375" style="2" customWidth="1"/>
    <col min="12291" max="12314" width="11.28515625" style="2" bestFit="1" customWidth="1"/>
    <col min="12315" max="12541" width="9.140625" style="2"/>
    <col min="12542" max="12542" width="66.140625" style="2" customWidth="1"/>
    <col min="12543" max="12545" width="9.140625" style="2"/>
    <col min="12546" max="12546" width="9.7109375" style="2" customWidth="1"/>
    <col min="12547" max="12570" width="11.28515625" style="2" bestFit="1" customWidth="1"/>
    <col min="12571" max="12797" width="9.140625" style="2"/>
    <col min="12798" max="12798" width="66.140625" style="2" customWidth="1"/>
    <col min="12799" max="12801" width="9.140625" style="2"/>
    <col min="12802" max="12802" width="9.7109375" style="2" customWidth="1"/>
    <col min="12803" max="12826" width="11.28515625" style="2" bestFit="1" customWidth="1"/>
    <col min="12827" max="13053" width="9.140625" style="2"/>
    <col min="13054" max="13054" width="66.140625" style="2" customWidth="1"/>
    <col min="13055" max="13057" width="9.140625" style="2"/>
    <col min="13058" max="13058" width="9.7109375" style="2" customWidth="1"/>
    <col min="13059" max="13082" width="11.28515625" style="2" bestFit="1" customWidth="1"/>
    <col min="13083" max="13309" width="9.140625" style="2"/>
    <col min="13310" max="13310" width="66.140625" style="2" customWidth="1"/>
    <col min="13311" max="13313" width="9.140625" style="2"/>
    <col min="13314" max="13314" width="9.7109375" style="2" customWidth="1"/>
    <col min="13315" max="13338" width="11.28515625" style="2" bestFit="1" customWidth="1"/>
    <col min="13339" max="13565" width="9.140625" style="2"/>
    <col min="13566" max="13566" width="66.140625" style="2" customWidth="1"/>
    <col min="13567" max="13569" width="9.140625" style="2"/>
    <col min="13570" max="13570" width="9.7109375" style="2" customWidth="1"/>
    <col min="13571" max="13594" width="11.28515625" style="2" bestFit="1" customWidth="1"/>
    <col min="13595" max="13821" width="9.140625" style="2"/>
    <col min="13822" max="13822" width="66.140625" style="2" customWidth="1"/>
    <col min="13823" max="13825" width="9.140625" style="2"/>
    <col min="13826" max="13826" width="9.7109375" style="2" customWidth="1"/>
    <col min="13827" max="13850" width="11.28515625" style="2" bestFit="1" customWidth="1"/>
    <col min="13851" max="14077" width="9.140625" style="2"/>
    <col min="14078" max="14078" width="66.140625" style="2" customWidth="1"/>
    <col min="14079" max="14081" width="9.140625" style="2"/>
    <col min="14082" max="14082" width="9.7109375" style="2" customWidth="1"/>
    <col min="14083" max="14106" width="11.28515625" style="2" bestFit="1" customWidth="1"/>
    <col min="14107" max="14333" width="9.140625" style="2"/>
    <col min="14334" max="14334" width="66.140625" style="2" customWidth="1"/>
    <col min="14335" max="14337" width="9.140625" style="2"/>
    <col min="14338" max="14338" width="9.7109375" style="2" customWidth="1"/>
    <col min="14339" max="14362" width="11.28515625" style="2" bestFit="1" customWidth="1"/>
    <col min="14363" max="14589" width="9.140625" style="2"/>
    <col min="14590" max="14590" width="66.140625" style="2" customWidth="1"/>
    <col min="14591" max="14593" width="9.140625" style="2"/>
    <col min="14594" max="14594" width="9.7109375" style="2" customWidth="1"/>
    <col min="14595" max="14618" width="11.28515625" style="2" bestFit="1" customWidth="1"/>
    <col min="14619" max="14845" width="9.140625" style="2"/>
    <col min="14846" max="14846" width="66.140625" style="2" customWidth="1"/>
    <col min="14847" max="14849" width="9.140625" style="2"/>
    <col min="14850" max="14850" width="9.7109375" style="2" customWidth="1"/>
    <col min="14851" max="14874" width="11.28515625" style="2" bestFit="1" customWidth="1"/>
    <col min="14875" max="15101" width="9.140625" style="2"/>
    <col min="15102" max="15102" width="66.140625" style="2" customWidth="1"/>
    <col min="15103" max="15105" width="9.140625" style="2"/>
    <col min="15106" max="15106" width="9.7109375" style="2" customWidth="1"/>
    <col min="15107" max="15130" width="11.28515625" style="2" bestFit="1" customWidth="1"/>
    <col min="15131" max="15357" width="9.140625" style="2"/>
    <col min="15358" max="15358" width="66.140625" style="2" customWidth="1"/>
    <col min="15359" max="15361" width="9.140625" style="2"/>
    <col min="15362" max="15362" width="9.7109375" style="2" customWidth="1"/>
    <col min="15363" max="15386" width="11.28515625" style="2" bestFit="1" customWidth="1"/>
    <col min="15387" max="15613" width="9.140625" style="2"/>
    <col min="15614" max="15614" width="66.140625" style="2" customWidth="1"/>
    <col min="15615" max="15617" width="9.140625" style="2"/>
    <col min="15618" max="15618" width="9.7109375" style="2" customWidth="1"/>
    <col min="15619" max="15642" width="11.28515625" style="2" bestFit="1" customWidth="1"/>
    <col min="15643" max="15869" width="9.140625" style="2"/>
    <col min="15870" max="15870" width="66.140625" style="2" customWidth="1"/>
    <col min="15871" max="15873" width="9.140625" style="2"/>
    <col min="15874" max="15874" width="9.7109375" style="2" customWidth="1"/>
    <col min="15875" max="15898" width="11.28515625" style="2" bestFit="1" customWidth="1"/>
    <col min="15899" max="16125" width="9.140625" style="2"/>
    <col min="16126" max="16126" width="66.140625" style="2" customWidth="1"/>
    <col min="16127" max="16129" width="9.140625" style="2"/>
    <col min="16130" max="16130" width="9.7109375" style="2" customWidth="1"/>
    <col min="16131" max="16154" width="11.28515625" style="2" bestFit="1" customWidth="1"/>
    <col min="16155" max="16384" width="9.140625" style="2"/>
  </cols>
  <sheetData>
    <row r="1" spans="1:30" ht="20.25" thickBot="1" x14ac:dyDescent="0.35">
      <c r="A1" s="20" t="s">
        <v>117</v>
      </c>
    </row>
    <row r="2" spans="1:30" ht="15.75" thickTop="1" x14ac:dyDescent="0.25">
      <c r="A2" s="21" t="s">
        <v>23</v>
      </c>
      <c r="B2" s="31" t="s">
        <v>105</v>
      </c>
      <c r="C2" s="1">
        <v>2007</v>
      </c>
      <c r="D2" s="1">
        <v>2008</v>
      </c>
      <c r="E2" s="1">
        <v>2009</v>
      </c>
      <c r="F2" s="1">
        <v>2010</v>
      </c>
      <c r="G2" s="1">
        <v>2011</v>
      </c>
      <c r="H2" s="1">
        <v>2012</v>
      </c>
      <c r="I2" s="1">
        <v>2013</v>
      </c>
      <c r="J2" s="1">
        <v>2014</v>
      </c>
      <c r="K2" s="1">
        <v>2015</v>
      </c>
      <c r="L2" s="1">
        <v>2016</v>
      </c>
      <c r="M2" s="1">
        <v>2017</v>
      </c>
      <c r="N2" s="1">
        <v>2018</v>
      </c>
      <c r="O2" s="1">
        <v>2019</v>
      </c>
      <c r="P2" s="1">
        <v>2020</v>
      </c>
      <c r="Q2" s="1">
        <v>2021</v>
      </c>
      <c r="R2" s="1">
        <v>2022</v>
      </c>
      <c r="S2" s="1">
        <v>2023</v>
      </c>
      <c r="T2" s="1">
        <v>2024</v>
      </c>
      <c r="U2" s="1">
        <v>2025</v>
      </c>
      <c r="V2" s="1">
        <v>2026</v>
      </c>
      <c r="W2" s="1">
        <v>2027</v>
      </c>
      <c r="X2" s="1">
        <v>2028</v>
      </c>
      <c r="Y2" s="1">
        <v>2029</v>
      </c>
      <c r="Z2" s="1">
        <v>2030</v>
      </c>
      <c r="AA2" s="1">
        <v>2031</v>
      </c>
      <c r="AB2" s="2">
        <v>2040</v>
      </c>
      <c r="AC2" s="2">
        <v>2050</v>
      </c>
      <c r="AD2" s="2">
        <v>2060</v>
      </c>
    </row>
    <row r="3" spans="1:30" ht="15" x14ac:dyDescent="0.25">
      <c r="A3" s="3" t="s">
        <v>0</v>
      </c>
      <c r="B3" s="31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0" ht="15" x14ac:dyDescent="0.25">
      <c r="A4" s="1" t="s">
        <v>38</v>
      </c>
      <c r="C4" s="24"/>
      <c r="D4" s="32">
        <f t="shared" ref="D4:U4" si="0">IF($B$3="AR 2008",D41,D43)</f>
        <v>7.3623954205195963E-2</v>
      </c>
      <c r="E4" s="32">
        <f t="shared" si="0"/>
        <v>7.5957673693708427E-2</v>
      </c>
      <c r="F4" s="32">
        <f t="shared" si="0"/>
        <v>2.9884882213920827E-2</v>
      </c>
      <c r="G4" s="32">
        <f t="shared" si="0"/>
        <v>5.1743282256273559E-2</v>
      </c>
      <c r="H4" s="32">
        <f t="shared" si="0"/>
        <v>2.0340653153153143E-2</v>
      </c>
      <c r="I4" s="32">
        <f t="shared" si="0"/>
        <v>1.5727391874180929E-2</v>
      </c>
      <c r="J4" s="32">
        <f t="shared" si="0"/>
        <v>1.5619694397283501E-2</v>
      </c>
      <c r="K4" s="32">
        <f t="shared" si="0"/>
        <v>1.5580073553995266E-2</v>
      </c>
      <c r="L4" s="32">
        <f t="shared" si="0"/>
        <v>1.573610745325249E-2</v>
      </c>
      <c r="M4" s="32">
        <f t="shared" si="0"/>
        <v>1.568678291307446E-2</v>
      </c>
      <c r="N4" s="32">
        <f t="shared" si="0"/>
        <v>1.2827876699214924E-2</v>
      </c>
      <c r="O4" s="32">
        <f t="shared" si="0"/>
        <v>1.2602394454946486E-2</v>
      </c>
      <c r="P4" s="32">
        <f t="shared" si="0"/>
        <v>6.0983198506534553E-3</v>
      </c>
      <c r="Q4" s="32">
        <f t="shared" si="0"/>
        <v>1.8926274121721987E-2</v>
      </c>
      <c r="R4" s="32">
        <f t="shared" si="0"/>
        <v>1.2322447493019251E-2</v>
      </c>
      <c r="S4" s="32">
        <f t="shared" si="0"/>
        <v>5.9962823049708458E-3</v>
      </c>
      <c r="T4" s="32">
        <f t="shared" si="0"/>
        <v>1.8418072360970372E-2</v>
      </c>
      <c r="U4" s="32">
        <f t="shared" si="0"/>
        <v>1.1998127121620072E-2</v>
      </c>
      <c r="V4" s="32">
        <f>U4</f>
        <v>1.1998127121620072E-2</v>
      </c>
      <c r="W4" s="32">
        <f t="shared" ref="W4:Z4" si="1">V4</f>
        <v>1.1998127121620072E-2</v>
      </c>
      <c r="X4" s="32">
        <f t="shared" si="1"/>
        <v>1.1998127121620072E-2</v>
      </c>
      <c r="Y4" s="32">
        <f t="shared" si="1"/>
        <v>1.1998127121620072E-2</v>
      </c>
      <c r="Z4" s="32">
        <f t="shared" si="1"/>
        <v>1.1998127121620072E-2</v>
      </c>
      <c r="AA4" s="4">
        <f>AB4</f>
        <v>4.9999999999999996E-2</v>
      </c>
      <c r="AB4" s="18">
        <f>SUMIF(PoolPlan_EnergyProj!$Q$1:$AB$1,B2,PoolPlan_EnergyProj!$Q$29:$AB$29)</f>
        <v>4.9999999999999996E-2</v>
      </c>
      <c r="AC4" s="18">
        <f>SUMIF(PoolPlan_EnergyProj!$Q$1:$AB$1,B2,PoolPlan_EnergyProj!$Q$30:$AB$30)</f>
        <v>4.9999999999999989E-2</v>
      </c>
      <c r="AD4" s="86">
        <v>0</v>
      </c>
    </row>
    <row r="5" spans="1:30" ht="15" x14ac:dyDescent="0.25">
      <c r="A5" s="1" t="s">
        <v>115</v>
      </c>
      <c r="B5" s="5" t="s">
        <v>1</v>
      </c>
      <c r="C5" s="23">
        <f>C42*(1-C7)*(1-C10)</f>
        <v>9651.75</v>
      </c>
      <c r="D5" s="7">
        <f t="shared" ref="D5:AA5" si="2">C5*(1+D4)</f>
        <v>10362.35</v>
      </c>
      <c r="E5" s="7">
        <f t="shared" si="2"/>
        <v>11149.45</v>
      </c>
      <c r="F5" s="7">
        <f t="shared" si="2"/>
        <v>11482.65</v>
      </c>
      <c r="G5" s="7">
        <f t="shared" si="2"/>
        <v>12076.8</v>
      </c>
      <c r="H5" s="7">
        <f t="shared" si="2"/>
        <v>12322.449999999999</v>
      </c>
      <c r="I5" s="7">
        <f t="shared" si="2"/>
        <v>12516.25</v>
      </c>
      <c r="J5" s="7">
        <f t="shared" si="2"/>
        <v>12711.75</v>
      </c>
      <c r="K5" s="7">
        <f t="shared" si="2"/>
        <v>12909.8</v>
      </c>
      <c r="L5" s="7">
        <f t="shared" si="2"/>
        <v>13112.949999999999</v>
      </c>
      <c r="M5" s="7">
        <f t="shared" si="2"/>
        <v>13318.649999999998</v>
      </c>
      <c r="N5" s="7">
        <f t="shared" si="2"/>
        <v>13489.499999999996</v>
      </c>
      <c r="O5" s="7">
        <f t="shared" si="2"/>
        <v>13659.499999999996</v>
      </c>
      <c r="P5" s="7">
        <f t="shared" si="2"/>
        <v>13742.799999999997</v>
      </c>
      <c r="Q5" s="7">
        <f t="shared" si="2"/>
        <v>14002.899999999998</v>
      </c>
      <c r="R5" s="7">
        <f t="shared" si="2"/>
        <v>14175.449999999997</v>
      </c>
      <c r="S5" s="7">
        <f t="shared" si="2"/>
        <v>14260.449999999995</v>
      </c>
      <c r="T5" s="7">
        <f t="shared" si="2"/>
        <v>14523.099999999995</v>
      </c>
      <c r="U5" s="7">
        <f t="shared" si="2"/>
        <v>14697.349999999995</v>
      </c>
      <c r="V5" s="7">
        <f t="shared" si="2"/>
        <v>14873.690673650937</v>
      </c>
      <c r="W5" s="7">
        <f t="shared" si="2"/>
        <v>15052.147105121056</v>
      </c>
      <c r="X5" s="7">
        <f t="shared" si="2"/>
        <v>15232.744679541624</v>
      </c>
      <c r="Y5" s="7">
        <f t="shared" si="2"/>
        <v>15415.509086617945</v>
      </c>
      <c r="Z5" s="7">
        <f t="shared" si="2"/>
        <v>15600.466324283676</v>
      </c>
      <c r="AA5" s="7">
        <f t="shared" si="2"/>
        <v>16380.489640497861</v>
      </c>
      <c r="AB5" s="7">
        <f>AA5*(1+AB4)^9</f>
        <v>25411.515770848106</v>
      </c>
      <c r="AC5" s="7">
        <f>AB5*(1+AC4)^10</f>
        <v>41392.681497404694</v>
      </c>
      <c r="AD5" s="7">
        <f>AC5*(1+AD4)^10</f>
        <v>41392.681497404694</v>
      </c>
    </row>
    <row r="6" spans="1:30" ht="15" x14ac:dyDescent="0.25">
      <c r="A6" s="3" t="s">
        <v>2</v>
      </c>
      <c r="B6" s="5"/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30" ht="15" x14ac:dyDescent="0.25">
      <c r="A7" s="1" t="s">
        <v>3</v>
      </c>
      <c r="C7" s="71">
        <v>0</v>
      </c>
      <c r="D7" s="33">
        <f t="shared" ref="D7:Y7" si="3">C7</f>
        <v>0</v>
      </c>
      <c r="E7" s="33">
        <f t="shared" si="3"/>
        <v>0</v>
      </c>
      <c r="F7" s="33">
        <f t="shared" si="3"/>
        <v>0</v>
      </c>
      <c r="G7" s="33">
        <f t="shared" si="3"/>
        <v>0</v>
      </c>
      <c r="H7" s="33">
        <f t="shared" si="3"/>
        <v>0</v>
      </c>
      <c r="I7" s="33">
        <f t="shared" si="3"/>
        <v>0</v>
      </c>
      <c r="J7" s="33">
        <f t="shared" si="3"/>
        <v>0</v>
      </c>
      <c r="K7" s="33">
        <f t="shared" si="3"/>
        <v>0</v>
      </c>
      <c r="L7" s="33">
        <f t="shared" si="3"/>
        <v>0</v>
      </c>
      <c r="M7" s="33">
        <f t="shared" si="3"/>
        <v>0</v>
      </c>
      <c r="N7" s="33">
        <f t="shared" si="3"/>
        <v>0</v>
      </c>
      <c r="O7" s="33">
        <f t="shared" si="3"/>
        <v>0</v>
      </c>
      <c r="P7" s="33">
        <f t="shared" si="3"/>
        <v>0</v>
      </c>
      <c r="Q7" s="33">
        <f t="shared" si="3"/>
        <v>0</v>
      </c>
      <c r="R7" s="33">
        <f t="shared" si="3"/>
        <v>0</v>
      </c>
      <c r="S7" s="33">
        <f t="shared" si="3"/>
        <v>0</v>
      </c>
      <c r="T7" s="33">
        <f t="shared" si="3"/>
        <v>0</v>
      </c>
      <c r="U7" s="33">
        <f t="shared" si="3"/>
        <v>0</v>
      </c>
      <c r="V7" s="33">
        <f t="shared" si="3"/>
        <v>0</v>
      </c>
      <c r="W7" s="33">
        <f t="shared" si="3"/>
        <v>0</v>
      </c>
      <c r="X7" s="33">
        <f t="shared" si="3"/>
        <v>0</v>
      </c>
      <c r="Y7" s="33">
        <f t="shared" si="3"/>
        <v>0</v>
      </c>
      <c r="Z7" s="33">
        <f>Y7</f>
        <v>0</v>
      </c>
      <c r="AA7" s="33">
        <f t="shared" ref="AA7:AC7" si="4">Z7</f>
        <v>0</v>
      </c>
      <c r="AB7" s="33">
        <f t="shared" si="4"/>
        <v>0</v>
      </c>
      <c r="AC7" s="33">
        <f t="shared" si="4"/>
        <v>0</v>
      </c>
    </row>
    <row r="8" spans="1:30" ht="15" x14ac:dyDescent="0.25">
      <c r="A8" s="1" t="s">
        <v>96</v>
      </c>
      <c r="B8" s="5" t="s">
        <v>1</v>
      </c>
      <c r="C8" s="8">
        <f t="shared" ref="C8:AC8" si="5">C5/(1-C7)</f>
        <v>9651.75</v>
      </c>
      <c r="D8" s="8">
        <f t="shared" si="5"/>
        <v>10362.35</v>
      </c>
      <c r="E8" s="8">
        <f t="shared" si="5"/>
        <v>11149.45</v>
      </c>
      <c r="F8" s="8">
        <f t="shared" si="5"/>
        <v>11482.65</v>
      </c>
      <c r="G8" s="8">
        <f t="shared" si="5"/>
        <v>12076.8</v>
      </c>
      <c r="H8" s="8">
        <f t="shared" si="5"/>
        <v>12322.449999999999</v>
      </c>
      <c r="I8" s="8">
        <f t="shared" si="5"/>
        <v>12516.25</v>
      </c>
      <c r="J8" s="8">
        <f t="shared" si="5"/>
        <v>12711.75</v>
      </c>
      <c r="K8" s="8">
        <f t="shared" si="5"/>
        <v>12909.8</v>
      </c>
      <c r="L8" s="8">
        <f t="shared" si="5"/>
        <v>13112.949999999999</v>
      </c>
      <c r="M8" s="8">
        <f t="shared" si="5"/>
        <v>13318.649999999998</v>
      </c>
      <c r="N8" s="8">
        <f t="shared" si="5"/>
        <v>13489.499999999996</v>
      </c>
      <c r="O8" s="8">
        <f t="shared" si="5"/>
        <v>13659.499999999996</v>
      </c>
      <c r="P8" s="8">
        <f t="shared" si="5"/>
        <v>13742.799999999997</v>
      </c>
      <c r="Q8" s="8">
        <f t="shared" si="5"/>
        <v>14002.899999999998</v>
      </c>
      <c r="R8" s="8">
        <f t="shared" si="5"/>
        <v>14175.449999999997</v>
      </c>
      <c r="S8" s="8">
        <f t="shared" si="5"/>
        <v>14260.449999999995</v>
      </c>
      <c r="T8" s="8">
        <f t="shared" si="5"/>
        <v>14523.099999999995</v>
      </c>
      <c r="U8" s="8">
        <f t="shared" si="5"/>
        <v>14697.349999999995</v>
      </c>
      <c r="V8" s="8">
        <f t="shared" si="5"/>
        <v>14873.690673650937</v>
      </c>
      <c r="W8" s="8">
        <f t="shared" si="5"/>
        <v>15052.147105121056</v>
      </c>
      <c r="X8" s="8">
        <f t="shared" si="5"/>
        <v>15232.744679541624</v>
      </c>
      <c r="Y8" s="8">
        <f t="shared" si="5"/>
        <v>15415.509086617945</v>
      </c>
      <c r="Z8" s="8">
        <f t="shared" si="5"/>
        <v>15600.466324283676</v>
      </c>
      <c r="AA8" s="8">
        <f t="shared" si="5"/>
        <v>16380.489640497861</v>
      </c>
      <c r="AB8" s="8">
        <f t="shared" si="5"/>
        <v>25411.515770848106</v>
      </c>
      <c r="AC8" s="8">
        <f t="shared" si="5"/>
        <v>41392.681497404694</v>
      </c>
    </row>
    <row r="9" spans="1:30" ht="15" x14ac:dyDescent="0.25">
      <c r="A9" s="3" t="s">
        <v>4</v>
      </c>
      <c r="B9" s="5"/>
      <c r="C9" s="11"/>
      <c r="D9" s="11"/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30" ht="15" x14ac:dyDescent="0.25">
      <c r="A10" s="1" t="s">
        <v>5</v>
      </c>
      <c r="C10" s="26">
        <v>0.15</v>
      </c>
      <c r="D10" s="32">
        <f>C10</f>
        <v>0.15</v>
      </c>
      <c r="E10" s="32">
        <f t="shared" ref="E10:AC10" si="6">D10</f>
        <v>0.15</v>
      </c>
      <c r="F10" s="32">
        <f t="shared" si="6"/>
        <v>0.15</v>
      </c>
      <c r="G10" s="32">
        <f t="shared" si="6"/>
        <v>0.15</v>
      </c>
      <c r="H10" s="32">
        <f t="shared" si="6"/>
        <v>0.15</v>
      </c>
      <c r="I10" s="32">
        <f t="shared" si="6"/>
        <v>0.15</v>
      </c>
      <c r="J10" s="32">
        <f t="shared" si="6"/>
        <v>0.15</v>
      </c>
      <c r="K10" s="32">
        <f t="shared" si="6"/>
        <v>0.15</v>
      </c>
      <c r="L10" s="32">
        <f t="shared" si="6"/>
        <v>0.15</v>
      </c>
      <c r="M10" s="32">
        <f t="shared" si="6"/>
        <v>0.15</v>
      </c>
      <c r="N10" s="32">
        <f t="shared" si="6"/>
        <v>0.15</v>
      </c>
      <c r="O10" s="32">
        <f t="shared" si="6"/>
        <v>0.15</v>
      </c>
      <c r="P10" s="32">
        <f t="shared" si="6"/>
        <v>0.15</v>
      </c>
      <c r="Q10" s="32">
        <f t="shared" si="6"/>
        <v>0.15</v>
      </c>
      <c r="R10" s="32">
        <f t="shared" si="6"/>
        <v>0.15</v>
      </c>
      <c r="S10" s="32">
        <f t="shared" si="6"/>
        <v>0.15</v>
      </c>
      <c r="T10" s="32">
        <f t="shared" si="6"/>
        <v>0.15</v>
      </c>
      <c r="U10" s="32">
        <f t="shared" si="6"/>
        <v>0.15</v>
      </c>
      <c r="V10" s="32">
        <f t="shared" si="6"/>
        <v>0.15</v>
      </c>
      <c r="W10" s="32">
        <f t="shared" si="6"/>
        <v>0.15</v>
      </c>
      <c r="X10" s="32">
        <f t="shared" si="6"/>
        <v>0.15</v>
      </c>
      <c r="Y10" s="32">
        <f t="shared" si="6"/>
        <v>0.15</v>
      </c>
      <c r="Z10" s="32">
        <f t="shared" si="6"/>
        <v>0.15</v>
      </c>
      <c r="AA10" s="32">
        <f t="shared" si="6"/>
        <v>0.15</v>
      </c>
      <c r="AB10" s="32">
        <f t="shared" si="6"/>
        <v>0.15</v>
      </c>
      <c r="AC10" s="32">
        <f t="shared" si="6"/>
        <v>0.15</v>
      </c>
    </row>
    <row r="11" spans="1:30" ht="15" x14ac:dyDescent="0.25">
      <c r="A11" s="1" t="s">
        <v>95</v>
      </c>
      <c r="B11" s="5" t="s">
        <v>1</v>
      </c>
      <c r="C11" s="8">
        <f t="shared" ref="C11:AC11" si="7">C8/(1-C10)</f>
        <v>11355</v>
      </c>
      <c r="D11" s="8">
        <f t="shared" si="7"/>
        <v>12191</v>
      </c>
      <c r="E11" s="8">
        <f t="shared" si="7"/>
        <v>13117.000000000002</v>
      </c>
      <c r="F11" s="8">
        <f t="shared" si="7"/>
        <v>13509</v>
      </c>
      <c r="G11" s="8">
        <f t="shared" si="7"/>
        <v>14208</v>
      </c>
      <c r="H11" s="8">
        <f t="shared" si="7"/>
        <v>14497</v>
      </c>
      <c r="I11" s="8">
        <f t="shared" si="7"/>
        <v>14725</v>
      </c>
      <c r="J11" s="8">
        <f t="shared" si="7"/>
        <v>14955</v>
      </c>
      <c r="K11" s="8">
        <f t="shared" si="7"/>
        <v>15188</v>
      </c>
      <c r="L11" s="8">
        <f t="shared" si="7"/>
        <v>15427</v>
      </c>
      <c r="M11" s="8">
        <f t="shared" si="7"/>
        <v>15668.999999999998</v>
      </c>
      <c r="N11" s="8">
        <f t="shared" si="7"/>
        <v>15869.999999999996</v>
      </c>
      <c r="O11" s="8">
        <f t="shared" si="7"/>
        <v>16069.999999999996</v>
      </c>
      <c r="P11" s="8">
        <f t="shared" si="7"/>
        <v>16167.999999999998</v>
      </c>
      <c r="Q11" s="8">
        <f t="shared" si="7"/>
        <v>16473.999999999996</v>
      </c>
      <c r="R11" s="8">
        <f t="shared" si="7"/>
        <v>16676.999999999996</v>
      </c>
      <c r="S11" s="8">
        <f t="shared" si="7"/>
        <v>16776.999999999996</v>
      </c>
      <c r="T11" s="8">
        <f t="shared" si="7"/>
        <v>17085.999999999993</v>
      </c>
      <c r="U11" s="8">
        <f t="shared" si="7"/>
        <v>17290.999999999993</v>
      </c>
      <c r="V11" s="8">
        <f t="shared" si="7"/>
        <v>17498.459616059925</v>
      </c>
      <c r="W11" s="8">
        <f t="shared" si="7"/>
        <v>17708.408358965949</v>
      </c>
      <c r="X11" s="8">
        <f t="shared" si="7"/>
        <v>17920.876093578379</v>
      </c>
      <c r="Y11" s="8">
        <f t="shared" si="7"/>
        <v>18135.893043079937</v>
      </c>
      <c r="Z11" s="8">
        <f t="shared" si="7"/>
        <v>18353.489793274912</v>
      </c>
      <c r="AA11" s="8">
        <f t="shared" si="7"/>
        <v>19271.164282938662</v>
      </c>
      <c r="AB11" s="8">
        <f t="shared" si="7"/>
        <v>29895.900906880124</v>
      </c>
      <c r="AC11" s="8">
        <f t="shared" si="7"/>
        <v>48697.272349887877</v>
      </c>
    </row>
    <row r="12" spans="1:30" x14ac:dyDescent="0.2">
      <c r="A12" s="3" t="s">
        <v>6</v>
      </c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30" ht="15" x14ac:dyDescent="0.25">
      <c r="A13" s="5" t="s">
        <v>108</v>
      </c>
      <c r="B13" s="5" t="s">
        <v>106</v>
      </c>
      <c r="C13" s="6">
        <f>VLOOKUP($A$2,AR2008_Stats!$B$4:$O$15,AR2008_Stats!L$1,FALSE)</f>
        <v>199</v>
      </c>
      <c r="D13" s="64">
        <f>C13</f>
        <v>199</v>
      </c>
      <c r="E13" s="64">
        <f t="shared" ref="E13:T15" si="8">D13</f>
        <v>199</v>
      </c>
      <c r="F13" s="64">
        <f t="shared" si="8"/>
        <v>199</v>
      </c>
      <c r="G13" s="64">
        <f t="shared" si="8"/>
        <v>199</v>
      </c>
      <c r="H13" s="64">
        <f t="shared" si="8"/>
        <v>199</v>
      </c>
      <c r="I13" s="64">
        <f t="shared" si="8"/>
        <v>199</v>
      </c>
      <c r="J13" s="64">
        <f t="shared" si="8"/>
        <v>199</v>
      </c>
      <c r="K13" s="64">
        <f t="shared" si="8"/>
        <v>199</v>
      </c>
      <c r="L13" s="64">
        <f t="shared" si="8"/>
        <v>199</v>
      </c>
      <c r="M13" s="64">
        <f t="shared" si="8"/>
        <v>199</v>
      </c>
      <c r="N13" s="64">
        <f t="shared" si="8"/>
        <v>199</v>
      </c>
      <c r="O13" s="64">
        <f t="shared" si="8"/>
        <v>199</v>
      </c>
      <c r="P13" s="64">
        <f t="shared" si="8"/>
        <v>199</v>
      </c>
      <c r="Q13" s="64">
        <f t="shared" si="8"/>
        <v>199</v>
      </c>
      <c r="R13" s="64">
        <f t="shared" si="8"/>
        <v>199</v>
      </c>
      <c r="S13" s="64">
        <f t="shared" si="8"/>
        <v>199</v>
      </c>
      <c r="T13" s="64">
        <f t="shared" si="8"/>
        <v>199</v>
      </c>
      <c r="U13" s="64">
        <f t="shared" ref="U13:AA15" si="9">T13</f>
        <v>199</v>
      </c>
      <c r="V13" s="64">
        <f t="shared" si="9"/>
        <v>199</v>
      </c>
      <c r="W13" s="64">
        <f t="shared" si="9"/>
        <v>199</v>
      </c>
      <c r="X13" s="64">
        <f t="shared" si="9"/>
        <v>199</v>
      </c>
      <c r="Y13" s="64">
        <f t="shared" si="9"/>
        <v>199</v>
      </c>
      <c r="Z13" s="64">
        <f t="shared" si="9"/>
        <v>199</v>
      </c>
      <c r="AA13" s="64">
        <f t="shared" si="9"/>
        <v>199</v>
      </c>
    </row>
    <row r="14" spans="1:30" ht="15" x14ac:dyDescent="0.25">
      <c r="A14" s="5" t="s">
        <v>109</v>
      </c>
      <c r="B14" s="5"/>
      <c r="C14" s="6">
        <v>0</v>
      </c>
      <c r="D14" s="64">
        <f>C14</f>
        <v>0</v>
      </c>
      <c r="E14" s="64">
        <f t="shared" si="8"/>
        <v>0</v>
      </c>
      <c r="F14" s="64">
        <f t="shared" si="8"/>
        <v>0</v>
      </c>
      <c r="G14" s="64">
        <f t="shared" si="8"/>
        <v>0</v>
      </c>
      <c r="H14" s="64">
        <f t="shared" si="8"/>
        <v>0</v>
      </c>
      <c r="I14" s="64">
        <f t="shared" si="8"/>
        <v>0</v>
      </c>
      <c r="J14" s="64">
        <f t="shared" si="8"/>
        <v>0</v>
      </c>
      <c r="K14" s="64">
        <f t="shared" si="8"/>
        <v>0</v>
      </c>
      <c r="L14" s="64">
        <f t="shared" si="8"/>
        <v>0</v>
      </c>
      <c r="M14" s="64">
        <f t="shared" si="8"/>
        <v>0</v>
      </c>
      <c r="N14" s="64">
        <f t="shared" si="8"/>
        <v>0</v>
      </c>
      <c r="O14" s="64">
        <f t="shared" si="8"/>
        <v>0</v>
      </c>
      <c r="P14" s="64">
        <f t="shared" si="8"/>
        <v>0</v>
      </c>
      <c r="Q14" s="64">
        <f t="shared" si="8"/>
        <v>0</v>
      </c>
      <c r="R14" s="64">
        <f t="shared" si="8"/>
        <v>0</v>
      </c>
      <c r="S14" s="64">
        <f t="shared" si="8"/>
        <v>0</v>
      </c>
      <c r="T14" s="64">
        <f t="shared" si="8"/>
        <v>0</v>
      </c>
      <c r="U14" s="64">
        <f t="shared" si="9"/>
        <v>0</v>
      </c>
      <c r="V14" s="64">
        <f t="shared" si="9"/>
        <v>0</v>
      </c>
      <c r="W14" s="64">
        <f t="shared" si="9"/>
        <v>0</v>
      </c>
      <c r="X14" s="64">
        <f t="shared" si="9"/>
        <v>0</v>
      </c>
      <c r="Y14" s="64">
        <f t="shared" si="9"/>
        <v>0</v>
      </c>
      <c r="Z14" s="64">
        <f t="shared" si="9"/>
        <v>0</v>
      </c>
      <c r="AA14" s="64">
        <f t="shared" si="9"/>
        <v>0</v>
      </c>
    </row>
    <row r="15" spans="1:30" ht="15" x14ac:dyDescent="0.25">
      <c r="A15" s="5" t="s">
        <v>110</v>
      </c>
      <c r="B15" s="5"/>
      <c r="C15" s="6">
        <v>0</v>
      </c>
      <c r="D15" s="64">
        <f>C15</f>
        <v>0</v>
      </c>
      <c r="E15" s="64">
        <f t="shared" si="8"/>
        <v>0</v>
      </c>
      <c r="F15" s="64">
        <f t="shared" si="8"/>
        <v>0</v>
      </c>
      <c r="G15" s="64">
        <f t="shared" si="8"/>
        <v>0</v>
      </c>
      <c r="H15" s="64">
        <f t="shared" si="8"/>
        <v>0</v>
      </c>
      <c r="I15" s="64">
        <f t="shared" si="8"/>
        <v>0</v>
      </c>
      <c r="J15" s="64">
        <f t="shared" si="8"/>
        <v>0</v>
      </c>
      <c r="K15" s="64">
        <f t="shared" si="8"/>
        <v>0</v>
      </c>
      <c r="L15" s="64">
        <f t="shared" si="8"/>
        <v>0</v>
      </c>
      <c r="M15" s="64">
        <f t="shared" si="8"/>
        <v>0</v>
      </c>
      <c r="N15" s="64">
        <f t="shared" si="8"/>
        <v>0</v>
      </c>
      <c r="O15" s="64">
        <f t="shared" si="8"/>
        <v>0</v>
      </c>
      <c r="P15" s="64">
        <f t="shared" si="8"/>
        <v>0</v>
      </c>
      <c r="Q15" s="64">
        <f t="shared" si="8"/>
        <v>0</v>
      </c>
      <c r="R15" s="64">
        <f t="shared" si="8"/>
        <v>0</v>
      </c>
      <c r="S15" s="64">
        <f t="shared" si="8"/>
        <v>0</v>
      </c>
      <c r="T15" s="64">
        <f t="shared" si="8"/>
        <v>0</v>
      </c>
      <c r="U15" s="64">
        <f t="shared" si="9"/>
        <v>0</v>
      </c>
      <c r="V15" s="64">
        <f t="shared" si="9"/>
        <v>0</v>
      </c>
      <c r="W15" s="64">
        <f t="shared" si="9"/>
        <v>0</v>
      </c>
      <c r="X15" s="64">
        <f t="shared" si="9"/>
        <v>0</v>
      </c>
      <c r="Y15" s="64">
        <f t="shared" si="9"/>
        <v>0</v>
      </c>
      <c r="Z15" s="64">
        <f t="shared" si="9"/>
        <v>0</v>
      </c>
      <c r="AA15" s="64">
        <f t="shared" si="9"/>
        <v>0</v>
      </c>
    </row>
    <row r="16" spans="1:30" ht="15" x14ac:dyDescent="0.25">
      <c r="A16" s="5" t="s">
        <v>112</v>
      </c>
      <c r="B16" s="5"/>
      <c r="C16" s="6">
        <v>0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</row>
    <row r="17" spans="1:27" ht="15" x14ac:dyDescent="0.25">
      <c r="A17" s="5" t="s">
        <v>113</v>
      </c>
      <c r="B17" s="5"/>
      <c r="C17" s="6">
        <v>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</row>
    <row r="18" spans="1:27" ht="15" x14ac:dyDescent="0.25">
      <c r="A18" s="1" t="s">
        <v>111</v>
      </c>
      <c r="B18" s="5"/>
      <c r="C18" s="65">
        <f>SUM(C13:C17)</f>
        <v>199</v>
      </c>
      <c r="D18" s="65">
        <f t="shared" ref="D18:AA18" si="10">SUM(D13:D17)</f>
        <v>199</v>
      </c>
      <c r="E18" s="65">
        <f t="shared" si="10"/>
        <v>199</v>
      </c>
      <c r="F18" s="65">
        <f t="shared" si="10"/>
        <v>199</v>
      </c>
      <c r="G18" s="65">
        <f t="shared" si="10"/>
        <v>199</v>
      </c>
      <c r="H18" s="65">
        <f t="shared" si="10"/>
        <v>199</v>
      </c>
      <c r="I18" s="65">
        <f t="shared" si="10"/>
        <v>199</v>
      </c>
      <c r="J18" s="65">
        <f t="shared" si="10"/>
        <v>199</v>
      </c>
      <c r="K18" s="65">
        <f t="shared" si="10"/>
        <v>199</v>
      </c>
      <c r="L18" s="65">
        <f t="shared" si="10"/>
        <v>199</v>
      </c>
      <c r="M18" s="65">
        <f t="shared" si="10"/>
        <v>199</v>
      </c>
      <c r="N18" s="65">
        <f t="shared" si="10"/>
        <v>199</v>
      </c>
      <c r="O18" s="65">
        <f t="shared" si="10"/>
        <v>199</v>
      </c>
      <c r="P18" s="65">
        <f t="shared" si="10"/>
        <v>199</v>
      </c>
      <c r="Q18" s="65">
        <f t="shared" si="10"/>
        <v>199</v>
      </c>
      <c r="R18" s="65">
        <f t="shared" si="10"/>
        <v>199</v>
      </c>
      <c r="S18" s="65">
        <f t="shared" si="10"/>
        <v>199</v>
      </c>
      <c r="T18" s="65">
        <f t="shared" si="10"/>
        <v>199</v>
      </c>
      <c r="U18" s="65">
        <f t="shared" si="10"/>
        <v>199</v>
      </c>
      <c r="V18" s="65">
        <f t="shared" si="10"/>
        <v>199</v>
      </c>
      <c r="W18" s="65">
        <f t="shared" si="10"/>
        <v>199</v>
      </c>
      <c r="X18" s="65">
        <f t="shared" si="10"/>
        <v>199</v>
      </c>
      <c r="Y18" s="65">
        <f t="shared" si="10"/>
        <v>199</v>
      </c>
      <c r="Z18" s="65">
        <f t="shared" si="10"/>
        <v>199</v>
      </c>
      <c r="AA18" s="65">
        <f t="shared" si="10"/>
        <v>199</v>
      </c>
    </row>
    <row r="19" spans="1:27" ht="15" x14ac:dyDescent="0.25">
      <c r="A19" s="66" t="s">
        <v>116</v>
      </c>
      <c r="B19" s="66" t="s">
        <v>1</v>
      </c>
      <c r="C19" s="67">
        <f t="shared" ref="C19:AA19" si="11">C18+C11</f>
        <v>11554</v>
      </c>
      <c r="D19" s="67">
        <f t="shared" si="11"/>
        <v>12390</v>
      </c>
      <c r="E19" s="67">
        <f t="shared" si="11"/>
        <v>13316.000000000002</v>
      </c>
      <c r="F19" s="67">
        <f t="shared" si="11"/>
        <v>13708</v>
      </c>
      <c r="G19" s="67">
        <f t="shared" si="11"/>
        <v>14407</v>
      </c>
      <c r="H19" s="67">
        <f t="shared" si="11"/>
        <v>14696</v>
      </c>
      <c r="I19" s="67">
        <f t="shared" si="11"/>
        <v>14924</v>
      </c>
      <c r="J19" s="67">
        <f t="shared" si="11"/>
        <v>15154</v>
      </c>
      <c r="K19" s="67">
        <f t="shared" si="11"/>
        <v>15387</v>
      </c>
      <c r="L19" s="67">
        <f t="shared" si="11"/>
        <v>15626</v>
      </c>
      <c r="M19" s="67">
        <f t="shared" si="11"/>
        <v>15867.999999999998</v>
      </c>
      <c r="N19" s="67">
        <f t="shared" si="11"/>
        <v>16068.999999999996</v>
      </c>
      <c r="O19" s="67">
        <f t="shared" si="11"/>
        <v>16268.999999999996</v>
      </c>
      <c r="P19" s="67">
        <f t="shared" si="11"/>
        <v>16366.999999999998</v>
      </c>
      <c r="Q19" s="67">
        <f t="shared" si="11"/>
        <v>16672.999999999996</v>
      </c>
      <c r="R19" s="67">
        <f t="shared" si="11"/>
        <v>16875.999999999996</v>
      </c>
      <c r="S19" s="67">
        <f t="shared" si="11"/>
        <v>16975.999999999996</v>
      </c>
      <c r="T19" s="67">
        <f t="shared" si="11"/>
        <v>17284.999999999993</v>
      </c>
      <c r="U19" s="67">
        <f t="shared" si="11"/>
        <v>17489.999999999993</v>
      </c>
      <c r="V19" s="67">
        <f t="shared" si="11"/>
        <v>17697.459616059925</v>
      </c>
      <c r="W19" s="67">
        <f t="shared" si="11"/>
        <v>17907.408358965949</v>
      </c>
      <c r="X19" s="67">
        <f t="shared" si="11"/>
        <v>18119.876093578379</v>
      </c>
      <c r="Y19" s="67">
        <f t="shared" si="11"/>
        <v>18334.893043079937</v>
      </c>
      <c r="Z19" s="67">
        <f t="shared" si="11"/>
        <v>18552.489793274912</v>
      </c>
      <c r="AA19" s="67">
        <f t="shared" si="11"/>
        <v>19470.164282938662</v>
      </c>
    </row>
    <row r="20" spans="1:27" ht="15" x14ac:dyDescent="0.25">
      <c r="A20" s="3" t="s">
        <v>120</v>
      </c>
      <c r="B20" s="5" t="s">
        <v>1</v>
      </c>
      <c r="C20" s="6">
        <f>VLOOKUP($A$2,AR2008_Stats!$B$4:$O$15,AR2008_Stats!K$1,FALSE)</f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 x14ac:dyDescent="0.25">
      <c r="A21" s="3" t="s">
        <v>121</v>
      </c>
      <c r="B21" s="5" t="s">
        <v>1</v>
      </c>
      <c r="C21" s="6">
        <f>VLOOKUP($A$2,AR2008_Stats!$B$4:$O$15,AR2008_Stats!J$1,FALSE)</f>
        <v>9677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7" ht="15" x14ac:dyDescent="0.25">
      <c r="A22" s="66" t="s">
        <v>119</v>
      </c>
      <c r="B22" s="66" t="s">
        <v>1</v>
      </c>
      <c r="C22" s="67">
        <f>C21+C20</f>
        <v>9677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7" x14ac:dyDescent="0.2">
      <c r="A23" s="3" t="s">
        <v>88</v>
      </c>
    </row>
    <row r="24" spans="1:27" ht="15" x14ac:dyDescent="0.25">
      <c r="A24" s="1" t="s">
        <v>76</v>
      </c>
      <c r="B24" s="5" t="s">
        <v>1</v>
      </c>
      <c r="C24" s="74">
        <f>VLOOKUP($A$2,'[1]Total Existing Capacity'!$A$3:$J$14,9,FALSE)</f>
        <v>10113.163657999999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7" x14ac:dyDescent="0.2">
      <c r="A25" s="1" t="s">
        <v>89</v>
      </c>
      <c r="B25" s="5"/>
      <c r="C25" s="30">
        <f>(C20+C24)/C11-1</f>
        <v>-0.10936471527961256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7" x14ac:dyDescent="0.2">
      <c r="A26" s="1" t="s">
        <v>90</v>
      </c>
      <c r="B26" s="5"/>
      <c r="C26" s="30">
        <f>(C20+C24-C13)/C11-1</f>
        <v>-0.12689003452223691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7" x14ac:dyDescent="0.2">
      <c r="A27" s="1" t="s">
        <v>91</v>
      </c>
      <c r="B27" s="5"/>
      <c r="C27" s="30">
        <f>C24/C11-1</f>
        <v>-0.10936471527961256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7" x14ac:dyDescent="0.2">
      <c r="A28" s="1" t="s">
        <v>92</v>
      </c>
      <c r="B28" s="5"/>
      <c r="C28" s="30">
        <f>(C24-C13)/C11-1</f>
        <v>-0.12689003452223691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7" ht="15" x14ac:dyDescent="0.25">
      <c r="A29" s="1" t="s">
        <v>77</v>
      </c>
      <c r="B29" s="5" t="s">
        <v>1</v>
      </c>
      <c r="C29" s="74">
        <f>VLOOKUP($A$2,'[1]Total Existing Capacity'!$A$3:$J$14,10,FALSE)</f>
        <v>7848.1636580000004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7" x14ac:dyDescent="0.2">
      <c r="A30" s="1" t="s">
        <v>93</v>
      </c>
      <c r="B30" s="5"/>
      <c r="C30" s="30">
        <f>C29/C11-1</f>
        <v>-0.30883631369440767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7" x14ac:dyDescent="0.2">
      <c r="A31" s="1" t="s">
        <v>94</v>
      </c>
      <c r="B31" s="5"/>
      <c r="C31" s="30">
        <f>(C29-C13)/C11-1</f>
        <v>-0.32636163293703213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7" ht="15" x14ac:dyDescent="0.25">
      <c r="A32" s="1" t="s">
        <v>74</v>
      </c>
      <c r="B32" s="2" t="s">
        <v>10</v>
      </c>
      <c r="C32" s="27">
        <f>IF(B3="AR 2008",VLOOKUP($A$2,AR2008_Stats!$B$4:$O$15,AR2008_Stats!F$1,FALSE),C47)</f>
        <v>1551</v>
      </c>
      <c r="D32" s="28">
        <f>D19/(D33*8.76)</f>
        <v>1669.8195390041835</v>
      </c>
      <c r="E32" s="28">
        <f t="shared" ref="E32:Z32" si="12">E19/(E33*8.76)</f>
        <v>1769.4433178318216</v>
      </c>
      <c r="F32" s="28">
        <f t="shared" si="12"/>
        <v>1799.1179213857429</v>
      </c>
      <c r="G32" s="28">
        <f t="shared" si="12"/>
        <v>1886.0515202702704</v>
      </c>
      <c r="H32" s="28">
        <f t="shared" si="12"/>
        <v>1919.998896323377</v>
      </c>
      <c r="I32" s="28">
        <f t="shared" si="12"/>
        <v>1944.9341935483869</v>
      </c>
      <c r="J32" s="28">
        <f t="shared" si="12"/>
        <v>1969.868004012036</v>
      </c>
      <c r="K32" s="28">
        <f t="shared" si="12"/>
        <v>1995.8118251250987</v>
      </c>
      <c r="L32" s="28">
        <f t="shared" si="12"/>
        <v>2040.9924158942113</v>
      </c>
      <c r="M32" s="28">
        <f t="shared" si="12"/>
        <v>2087.1751866743248</v>
      </c>
      <c r="N32" s="28">
        <f t="shared" si="12"/>
        <v>2128.3577819785755</v>
      </c>
      <c r="O32" s="28">
        <f t="shared" si="12"/>
        <v>2169.5374611076536</v>
      </c>
      <c r="P32" s="28">
        <f t="shared" si="12"/>
        <v>2197.7212394854032</v>
      </c>
      <c r="Q32" s="28">
        <f t="shared" si="12"/>
        <v>2254.9134393589893</v>
      </c>
      <c r="R32" s="28">
        <f t="shared" si="12"/>
        <v>2299.1108712598184</v>
      </c>
      <c r="S32" s="28">
        <f t="shared" si="12"/>
        <v>2329.3051201049052</v>
      </c>
      <c r="T32" s="28">
        <f t="shared" si="12"/>
        <v>2388.4984782863153</v>
      </c>
      <c r="U32" s="28">
        <f t="shared" si="12"/>
        <v>2416.8260564204602</v>
      </c>
      <c r="V32" s="28">
        <f t="shared" si="12"/>
        <v>2445.4935124381063</v>
      </c>
      <c r="W32" s="28">
        <f t="shared" si="12"/>
        <v>2474.5049242373061</v>
      </c>
      <c r="X32" s="28">
        <f t="shared" si="12"/>
        <v>2503.8644186432493</v>
      </c>
      <c r="Y32" s="28">
        <f t="shared" si="12"/>
        <v>2533.5761719953025</v>
      </c>
      <c r="Z32" s="28">
        <f t="shared" si="12"/>
        <v>2563.6444107410784</v>
      </c>
    </row>
    <row r="33" spans="1:27" ht="15" x14ac:dyDescent="0.25">
      <c r="A33" s="1" t="s">
        <v>7</v>
      </c>
      <c r="C33" s="14">
        <f>C19/(C32*8.76)</f>
        <v>0.85038669999322869</v>
      </c>
      <c r="D33" s="14">
        <f t="shared" ref="D33:T33" si="13">IF(B3="AR 2008",D49,D50)</f>
        <v>0.84702779468452016</v>
      </c>
      <c r="E33" s="14">
        <f t="shared" si="13"/>
        <v>0.8590788463704786</v>
      </c>
      <c r="F33" s="14">
        <f t="shared" si="13"/>
        <v>0.86978188813944324</v>
      </c>
      <c r="G33" s="14">
        <f t="shared" si="13"/>
        <v>0.87199882162321396</v>
      </c>
      <c r="H33" s="14">
        <f t="shared" si="13"/>
        <v>0.87376382037966571</v>
      </c>
      <c r="I33" s="14">
        <f t="shared" si="13"/>
        <v>0.87594375875943764</v>
      </c>
      <c r="J33" s="14">
        <f t="shared" si="13"/>
        <v>0.87818507243925825</v>
      </c>
      <c r="K33" s="14">
        <f t="shared" si="13"/>
        <v>0.88009642352177642</v>
      </c>
      <c r="L33" s="14">
        <f t="shared" si="13"/>
        <v>0.87398166717654135</v>
      </c>
      <c r="M33" s="14">
        <f t="shared" si="13"/>
        <v>0.8678790054036809</v>
      </c>
      <c r="N33" s="14">
        <f t="shared" si="13"/>
        <v>0.86186671532656434</v>
      </c>
      <c r="O33" s="14">
        <f t="shared" si="13"/>
        <v>0.85603121131346194</v>
      </c>
      <c r="P33" s="14">
        <f t="shared" si="13"/>
        <v>0.85014375884690052</v>
      </c>
      <c r="Q33" s="14">
        <f t="shared" si="13"/>
        <v>0.84407253469745791</v>
      </c>
      <c r="R33" s="14">
        <f t="shared" si="13"/>
        <v>0.83792567046112287</v>
      </c>
      <c r="S33" s="14">
        <f t="shared" si="13"/>
        <v>0.83196466046995066</v>
      </c>
      <c r="T33" s="14">
        <f t="shared" si="13"/>
        <v>0.82611462134882085</v>
      </c>
      <c r="U33" s="14">
        <f>T33</f>
        <v>0.82611462134882085</v>
      </c>
      <c r="V33" s="14">
        <f t="shared" ref="V33:Z33" si="14">U33</f>
        <v>0.82611462134882085</v>
      </c>
      <c r="W33" s="14">
        <f t="shared" si="14"/>
        <v>0.82611462134882085</v>
      </c>
      <c r="X33" s="14">
        <f t="shared" si="14"/>
        <v>0.82611462134882085</v>
      </c>
      <c r="Y33" s="14">
        <f t="shared" si="14"/>
        <v>0.82611462134882085</v>
      </c>
      <c r="Z33" s="14">
        <f t="shared" si="14"/>
        <v>0.82611462134882085</v>
      </c>
    </row>
    <row r="34" spans="1:27" ht="15" x14ac:dyDescent="0.25">
      <c r="A34" s="1" t="s">
        <v>8</v>
      </c>
      <c r="C34" s="15"/>
      <c r="D34" s="15">
        <f t="shared" ref="D34:J34" si="15">D32/C32-1</f>
        <v>7.6608342362465276E-2</v>
      </c>
      <c r="E34" s="15">
        <f t="shared" si="15"/>
        <v>5.9661404421611941E-2</v>
      </c>
      <c r="F34" s="15">
        <f t="shared" si="15"/>
        <v>1.6770587254686831E-2</v>
      </c>
      <c r="G34" s="15">
        <f t="shared" si="15"/>
        <v>4.8320122795268539E-2</v>
      </c>
      <c r="H34" s="15">
        <f t="shared" si="15"/>
        <v>1.7999177481770046E-2</v>
      </c>
      <c r="I34" s="15">
        <f t="shared" si="15"/>
        <v>1.2987141436778371E-2</v>
      </c>
      <c r="J34" s="15">
        <f t="shared" si="15"/>
        <v>1.2819873570199869E-2</v>
      </c>
    </row>
    <row r="35" spans="1:27" ht="15" x14ac:dyDescent="0.25">
      <c r="A35" s="1" t="s">
        <v>75</v>
      </c>
      <c r="B35" s="2" t="s">
        <v>10</v>
      </c>
      <c r="C35" s="35">
        <f>IF(B3="AR 2008",C52,C53)</f>
        <v>1762</v>
      </c>
      <c r="D35" s="15"/>
      <c r="E35" s="15"/>
      <c r="F35" s="15"/>
      <c r="G35" s="15"/>
      <c r="H35" s="15"/>
      <c r="I35" s="15"/>
      <c r="J35" s="15"/>
    </row>
    <row r="36" spans="1:27" s="1" customFormat="1" x14ac:dyDescent="0.2">
      <c r="A36" s="1" t="s">
        <v>81</v>
      </c>
      <c r="B36" s="1" t="s">
        <v>10</v>
      </c>
      <c r="C36" s="72">
        <f>MAX(0,C32-C35)</f>
        <v>0</v>
      </c>
      <c r="D36" s="77">
        <f>C20/(C33*8.76)</f>
        <v>0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1:27" ht="15" x14ac:dyDescent="0.25">
      <c r="A37" s="1" t="s">
        <v>79</v>
      </c>
      <c r="C37" s="15">
        <f>C35/C32-1</f>
        <v>0.13604126370083813</v>
      </c>
      <c r="D37" s="34">
        <f>C37</f>
        <v>0.13604126370083813</v>
      </c>
      <c r="E37" s="34">
        <f t="shared" ref="E37:AA37" si="16">D37</f>
        <v>0.13604126370083813</v>
      </c>
      <c r="F37" s="34">
        <f t="shared" si="16"/>
        <v>0.13604126370083813</v>
      </c>
      <c r="G37" s="34">
        <f t="shared" si="16"/>
        <v>0.13604126370083813</v>
      </c>
      <c r="H37" s="34">
        <f t="shared" si="16"/>
        <v>0.13604126370083813</v>
      </c>
      <c r="I37" s="34">
        <f t="shared" si="16"/>
        <v>0.13604126370083813</v>
      </c>
      <c r="J37" s="34">
        <f t="shared" si="16"/>
        <v>0.13604126370083813</v>
      </c>
      <c r="K37" s="34">
        <f t="shared" si="16"/>
        <v>0.13604126370083813</v>
      </c>
      <c r="L37" s="34">
        <f t="shared" si="16"/>
        <v>0.13604126370083813</v>
      </c>
      <c r="M37" s="34">
        <f t="shared" si="16"/>
        <v>0.13604126370083813</v>
      </c>
      <c r="N37" s="34">
        <f t="shared" si="16"/>
        <v>0.13604126370083813</v>
      </c>
      <c r="O37" s="34">
        <f t="shared" si="16"/>
        <v>0.13604126370083813</v>
      </c>
      <c r="P37" s="34">
        <f t="shared" si="16"/>
        <v>0.13604126370083813</v>
      </c>
      <c r="Q37" s="34">
        <f t="shared" si="16"/>
        <v>0.13604126370083813</v>
      </c>
      <c r="R37" s="34">
        <f t="shared" si="16"/>
        <v>0.13604126370083813</v>
      </c>
      <c r="S37" s="34">
        <f t="shared" si="16"/>
        <v>0.13604126370083813</v>
      </c>
      <c r="T37" s="34">
        <f t="shared" si="16"/>
        <v>0.13604126370083813</v>
      </c>
      <c r="U37" s="34">
        <f t="shared" si="16"/>
        <v>0.13604126370083813</v>
      </c>
      <c r="V37" s="34">
        <f t="shared" si="16"/>
        <v>0.13604126370083813</v>
      </c>
      <c r="W37" s="34">
        <f t="shared" si="16"/>
        <v>0.13604126370083813</v>
      </c>
      <c r="X37" s="34">
        <f t="shared" si="16"/>
        <v>0.13604126370083813</v>
      </c>
      <c r="Y37" s="34">
        <f t="shared" si="16"/>
        <v>0.13604126370083813</v>
      </c>
      <c r="Z37" s="34">
        <f t="shared" si="16"/>
        <v>0.13604126370083813</v>
      </c>
      <c r="AA37" s="34">
        <f t="shared" si="16"/>
        <v>0.13604126370083813</v>
      </c>
    </row>
    <row r="38" spans="1:27" ht="15" x14ac:dyDescent="0.25">
      <c r="A38" s="1"/>
      <c r="C38" s="15"/>
      <c r="D38" s="15"/>
      <c r="E38" s="15"/>
      <c r="F38" s="15"/>
      <c r="G38" s="15"/>
      <c r="H38" s="15"/>
      <c r="I38" s="15"/>
      <c r="J38" s="15"/>
    </row>
    <row r="39" spans="1:27" ht="15" x14ac:dyDescent="0.25">
      <c r="A39" s="3" t="s">
        <v>78</v>
      </c>
      <c r="C39" s="15"/>
      <c r="D39" s="36"/>
      <c r="E39" s="36"/>
      <c r="F39" s="36"/>
      <c r="G39" s="36"/>
      <c r="H39" s="36"/>
      <c r="I39" s="35"/>
      <c r="J39" s="35"/>
    </row>
    <row r="40" spans="1:27" ht="15" x14ac:dyDescent="0.25">
      <c r="A40" s="1" t="s">
        <v>69</v>
      </c>
      <c r="B40" s="1" t="s">
        <v>1</v>
      </c>
      <c r="D40" s="23">
        <f>SUMIF(AR2008_EnergyProj!$A$3:$A$14,ZAM!$A$2,AR2008_EnergyProj!B$3:B$14)</f>
        <v>13014</v>
      </c>
      <c r="E40" s="23">
        <f>SUMIF(AR2008_EnergyProj!$A$3:$A$14,ZAM!$A$2,AR2008_EnergyProj!C$3:C$14)</f>
        <v>14354</v>
      </c>
      <c r="F40" s="23">
        <f>SUMIF(AR2008_EnergyProj!$A$3:$A$14,ZAM!$A$2,AR2008_EnergyProj!D$3:D$14)</f>
        <v>14749</v>
      </c>
      <c r="G40" s="23">
        <f>SUMIF(AR2008_EnergyProj!$A$3:$A$14,ZAM!$A$2,AR2008_EnergyProj!E$3:E$14)</f>
        <v>16000</v>
      </c>
      <c r="H40" s="23">
        <f>SUMIF(AR2008_EnergyProj!$A$3:$A$14,ZAM!$A$2,AR2008_EnergyProj!F$3:F$14)</f>
        <v>17927</v>
      </c>
      <c r="I40" s="23">
        <f>SUMIF(AR2008_EnergyProj!$A$3:$A$14,ZAM!$A$2,AR2008_EnergyProj!G$3:G$14)</f>
        <v>18377</v>
      </c>
      <c r="J40" s="23">
        <f>SUMIF(AR2008_EnergyProj!$A$3:$A$14,ZAM!$A$2,AR2008_EnergyProj!H$3:H$14)</f>
        <v>18613</v>
      </c>
      <c r="K40" s="23">
        <f>SUMIF(AR2008_EnergyProj!$A$3:$A$14,ZAM!$A$2,AR2008_EnergyProj!I$3:I$14)</f>
        <v>18853</v>
      </c>
      <c r="L40" s="23">
        <f>SUMIF(AR2008_EnergyProj!$A$3:$A$14,ZAM!$A$2,AR2008_EnergyProj!J$3:J$14)</f>
        <v>19098</v>
      </c>
      <c r="M40" s="23">
        <f>SUMIF(AR2008_EnergyProj!$A$3:$A$14,ZAM!$A$2,AR2008_EnergyProj!K$3:K$14)</f>
        <v>19384</v>
      </c>
      <c r="N40" s="23">
        <f>SUMIF(AR2008_EnergyProj!$A$3:$A$14,ZAM!$A$2,AR2008_EnergyProj!L$3:L$14)</f>
        <v>19553</v>
      </c>
      <c r="O40" s="23">
        <f>SUMIF(AR2008_EnergyProj!$A$3:$A$14,ZAM!$A$2,AR2008_EnergyProj!M$3:M$14)</f>
        <v>19760</v>
      </c>
      <c r="P40" s="23">
        <f>SUMIF(AR2008_EnergyProj!$A$3:$A$14,ZAM!$A$2,AR2008_EnergyProj!N$3:N$14)</f>
        <v>19968</v>
      </c>
      <c r="Q40" s="23">
        <f>SUMIF(AR2008_EnergyProj!$A$3:$A$14,ZAM!$A$2,AR2008_EnergyProj!O$3:O$14)</f>
        <v>20177</v>
      </c>
      <c r="R40" s="23">
        <f>SUMIF(AR2008_EnergyProj!$A$3:$A$14,ZAM!$A$2,AR2008_EnergyProj!P$3:P$14)</f>
        <v>20387</v>
      </c>
      <c r="S40" s="23">
        <f>SUMIF(AR2008_EnergyProj!$A$3:$A$14,ZAM!$A$2,AR2008_EnergyProj!Q$3:Q$14)</f>
        <v>20597</v>
      </c>
      <c r="T40" s="23">
        <f>SUMIF(AR2008_EnergyProj!$A$3:$A$14,ZAM!$A$2,AR2008_EnergyProj!R$3:R$14)</f>
        <v>20809</v>
      </c>
    </row>
    <row r="41" spans="1:27" ht="15" x14ac:dyDescent="0.25">
      <c r="A41" s="1" t="s">
        <v>11</v>
      </c>
      <c r="B41" s="1"/>
      <c r="D41" s="26">
        <f>VLOOKUP($A$2,AR2008_Stats!$B$4:$O$15,AR2008_Stats!I$1,FALSE)/100</f>
        <v>-8.199999999999999E-2</v>
      </c>
      <c r="E41" s="18">
        <f>E40/D40-1</f>
        <v>0.10296603657599501</v>
      </c>
      <c r="F41" s="18">
        <f t="shared" ref="F41:T41" si="17">F40/E40-1</f>
        <v>2.7518461752821466E-2</v>
      </c>
      <c r="G41" s="18">
        <f t="shared" si="17"/>
        <v>8.4819309783714214E-2</v>
      </c>
      <c r="H41" s="18">
        <f t="shared" si="17"/>
        <v>0.12043749999999998</v>
      </c>
      <c r="I41" s="18">
        <f t="shared" si="17"/>
        <v>2.5101801751547859E-2</v>
      </c>
      <c r="J41" s="18">
        <f t="shared" si="17"/>
        <v>1.2842139631060512E-2</v>
      </c>
      <c r="K41" s="18">
        <f t="shared" si="17"/>
        <v>1.2894213721592385E-2</v>
      </c>
      <c r="L41" s="18">
        <f t="shared" si="17"/>
        <v>1.2995279265899384E-2</v>
      </c>
      <c r="M41" s="18">
        <f t="shared" si="17"/>
        <v>1.4975390093203478E-2</v>
      </c>
      <c r="N41" s="18">
        <f t="shared" si="17"/>
        <v>8.7185307470079021E-3</v>
      </c>
      <c r="O41" s="18">
        <f t="shared" si="17"/>
        <v>1.0586610750268566E-2</v>
      </c>
      <c r="P41" s="18">
        <f t="shared" si="17"/>
        <v>1.0526315789473717E-2</v>
      </c>
      <c r="Q41" s="18">
        <f t="shared" si="17"/>
        <v>1.0466746794871806E-2</v>
      </c>
      <c r="R41" s="18">
        <f t="shared" si="17"/>
        <v>1.0407890171977963E-2</v>
      </c>
      <c r="S41" s="18">
        <f t="shared" si="17"/>
        <v>1.0300681807033918E-2</v>
      </c>
      <c r="T41" s="18">
        <f t="shared" si="17"/>
        <v>1.0292761081710955E-2</v>
      </c>
      <c r="U41" s="4">
        <f>T41</f>
        <v>1.0292761081710955E-2</v>
      </c>
    </row>
    <row r="42" spans="1:27" ht="15" x14ac:dyDescent="0.25">
      <c r="A42" s="1" t="s">
        <v>118</v>
      </c>
      <c r="B42" s="1" t="s">
        <v>1</v>
      </c>
      <c r="C42" s="23">
        <f>SUMIF(PoolPlan_EnergyProj!$B$60:$B$71,ZAM!$A$2,PoolPlan_EnergyProj!D$60:D$71)</f>
        <v>11355</v>
      </c>
      <c r="D42" s="23">
        <f>SUMIF(PoolPlan_EnergyProj!$B$60:$B$71,ZAM!$A$2,PoolPlan_EnergyProj!E$60:E$71)</f>
        <v>12191</v>
      </c>
      <c r="E42" s="23">
        <f>SUMIF(PoolPlan_EnergyProj!$B$60:$B$71,ZAM!$A$2,PoolPlan_EnergyProj!F$60:F$71)</f>
        <v>13117</v>
      </c>
      <c r="F42" s="23">
        <f>SUMIF(PoolPlan_EnergyProj!$B$60:$B$71,ZAM!$A$2,PoolPlan_EnergyProj!G$60:G$71)</f>
        <v>13509</v>
      </c>
      <c r="G42" s="23">
        <f>SUMIF(PoolPlan_EnergyProj!$B$60:$B$71,ZAM!$A$2,PoolPlan_EnergyProj!H$60:H$71)</f>
        <v>14208</v>
      </c>
      <c r="H42" s="23">
        <f>SUMIF(PoolPlan_EnergyProj!$B$60:$B$71,ZAM!$A$2,PoolPlan_EnergyProj!I$60:I$71)</f>
        <v>14497</v>
      </c>
      <c r="I42" s="23">
        <f>SUMIF(PoolPlan_EnergyProj!$B$60:$B$71,ZAM!$A$2,PoolPlan_EnergyProj!J$60:J$71)</f>
        <v>14725</v>
      </c>
      <c r="J42" s="23">
        <f>SUMIF(PoolPlan_EnergyProj!$B$60:$B$71,ZAM!$A$2,PoolPlan_EnergyProj!K$60:K$71)</f>
        <v>14955</v>
      </c>
      <c r="K42" s="23">
        <f>SUMIF(PoolPlan_EnergyProj!$B$60:$B$71,ZAM!$A$2,PoolPlan_EnergyProj!L$60:L$71)</f>
        <v>15188</v>
      </c>
      <c r="L42" s="23">
        <f>SUMIF(PoolPlan_EnergyProj!$B$60:$B$71,ZAM!$A$2,PoolPlan_EnergyProj!M$60:M$71)</f>
        <v>15427</v>
      </c>
      <c r="M42" s="23">
        <f>SUMIF(PoolPlan_EnergyProj!$B$60:$B$71,ZAM!$A$2,PoolPlan_EnergyProj!N$60:N$71)</f>
        <v>15669</v>
      </c>
      <c r="N42" s="23">
        <f>SUMIF(PoolPlan_EnergyProj!$B$60:$B$71,ZAM!$A$2,PoolPlan_EnergyProj!O$60:O$71)</f>
        <v>15870</v>
      </c>
      <c r="O42" s="23">
        <f>SUMIF(PoolPlan_EnergyProj!$B$60:$B$71,ZAM!$A$2,PoolPlan_EnergyProj!P$60:P$71)</f>
        <v>16070</v>
      </c>
      <c r="P42" s="23">
        <f>SUMIF(PoolPlan_EnergyProj!$B$60:$B$71,ZAM!$A$2,PoolPlan_EnergyProj!Q$60:Q$71)</f>
        <v>16168</v>
      </c>
      <c r="Q42" s="23">
        <f>SUMIF(PoolPlan_EnergyProj!$B$60:$B$71,ZAM!$A$2,PoolPlan_EnergyProj!R$60:R$71)</f>
        <v>16474</v>
      </c>
      <c r="R42" s="23">
        <f>SUMIF(PoolPlan_EnergyProj!$B$60:$B$71,ZAM!$A$2,PoolPlan_EnergyProj!S$60:S$71)</f>
        <v>16677</v>
      </c>
      <c r="S42" s="23">
        <f>SUMIF(PoolPlan_EnergyProj!$B$60:$B$71,ZAM!$A$2,PoolPlan_EnergyProj!T$60:T$71)</f>
        <v>16777</v>
      </c>
      <c r="T42" s="23">
        <f>SUMIF(PoolPlan_EnergyProj!$B$60:$B$71,ZAM!$A$2,PoolPlan_EnergyProj!U$60:U$71)</f>
        <v>17086</v>
      </c>
      <c r="U42" s="23">
        <f>SUMIF(PoolPlan_EnergyProj!$B$60:$B$71,ZAM!$A$2,PoolPlan_EnergyProj!V$60:V$71)</f>
        <v>17291</v>
      </c>
      <c r="V42" s="23"/>
    </row>
    <row r="43" spans="1:27" x14ac:dyDescent="0.2">
      <c r="A43" s="1" t="s">
        <v>11</v>
      </c>
      <c r="B43" s="1"/>
      <c r="C43" s="16"/>
      <c r="D43" s="18">
        <f>D42/C42-1</f>
        <v>7.3623954205195963E-2</v>
      </c>
      <c r="E43" s="18">
        <f t="shared" ref="E43:U43" si="18">E42/D42-1</f>
        <v>7.5957673693708427E-2</v>
      </c>
      <c r="F43" s="18">
        <f t="shared" si="18"/>
        <v>2.9884882213920827E-2</v>
      </c>
      <c r="G43" s="18">
        <f t="shared" si="18"/>
        <v>5.1743282256273559E-2</v>
      </c>
      <c r="H43" s="18">
        <f t="shared" si="18"/>
        <v>2.0340653153153143E-2</v>
      </c>
      <c r="I43" s="18">
        <f t="shared" si="18"/>
        <v>1.5727391874180929E-2</v>
      </c>
      <c r="J43" s="18">
        <f t="shared" si="18"/>
        <v>1.5619694397283501E-2</v>
      </c>
      <c r="K43" s="18">
        <f t="shared" si="18"/>
        <v>1.5580073553995266E-2</v>
      </c>
      <c r="L43" s="18">
        <f t="shared" si="18"/>
        <v>1.573610745325249E-2</v>
      </c>
      <c r="M43" s="18">
        <f t="shared" si="18"/>
        <v>1.568678291307446E-2</v>
      </c>
      <c r="N43" s="18">
        <f t="shared" si="18"/>
        <v>1.2827876699214924E-2</v>
      </c>
      <c r="O43" s="18">
        <f t="shared" si="18"/>
        <v>1.2602394454946486E-2</v>
      </c>
      <c r="P43" s="18">
        <f t="shared" si="18"/>
        <v>6.0983198506534553E-3</v>
      </c>
      <c r="Q43" s="18">
        <f t="shared" si="18"/>
        <v>1.8926274121721987E-2</v>
      </c>
      <c r="R43" s="18">
        <f t="shared" si="18"/>
        <v>1.2322447493019251E-2</v>
      </c>
      <c r="S43" s="18">
        <f t="shared" si="18"/>
        <v>5.9962823049708458E-3</v>
      </c>
      <c r="T43" s="18">
        <f t="shared" si="18"/>
        <v>1.8418072360970372E-2</v>
      </c>
      <c r="U43" s="18">
        <f t="shared" si="18"/>
        <v>1.1998127121620072E-2</v>
      </c>
    </row>
    <row r="44" spans="1:27" x14ac:dyDescent="0.2">
      <c r="A44" s="1"/>
      <c r="B44" s="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7" ht="15" x14ac:dyDescent="0.25">
      <c r="A45" s="1" t="s">
        <v>9</v>
      </c>
      <c r="B45" s="1" t="s">
        <v>10</v>
      </c>
      <c r="C45"/>
      <c r="D45">
        <f>SUMIF(AR2008_PeakProj!$A$3:$A$14,ZAM!$A$2,AR2008_PeakProj!B$3:B$14)</f>
        <v>1753</v>
      </c>
      <c r="E45">
        <f>SUMIF(AR2008_PeakProj!$A$3:$A$14,ZAM!$A$2,AR2008_PeakProj!C$3:C$14)</f>
        <v>1908</v>
      </c>
      <c r="F45">
        <f>SUMIF(AR2008_PeakProj!$A$3:$A$14,ZAM!$A$2,AR2008_PeakProj!D$3:D$14)</f>
        <v>1935</v>
      </c>
      <c r="G45">
        <f>SUMIF(AR2008_PeakProj!$A$3:$A$14,ZAM!$A$2,AR2008_PeakProj!E$3:E$14)</f>
        <v>2095</v>
      </c>
      <c r="H45">
        <f>SUMIF(AR2008_PeakProj!$A$3:$A$14,ZAM!$A$2,AR2008_PeakProj!F$3:F$14)</f>
        <v>2341</v>
      </c>
      <c r="I45">
        <f>SUMIF(AR2008_PeakProj!$A$3:$A$14,ZAM!$A$2,AR2008_PeakProj!G$3:G$14)</f>
        <v>2395</v>
      </c>
      <c r="J45">
        <f>SUMIF(AR2008_PeakProj!$A$3:$A$14,ZAM!$A$2,AR2008_PeakProj!H$3:H$14)</f>
        <v>2420</v>
      </c>
      <c r="K45">
        <f>SUMIF(AR2008_PeakProj!$A$3:$A$14,ZAM!$A$2,AR2008_PeakProj!I$3:I$14)</f>
        <v>2446</v>
      </c>
      <c r="L45">
        <f>SUMIF(AR2008_PeakProj!$A$3:$A$14,ZAM!$A$2,AR2008_PeakProj!J$3:J$14)</f>
        <v>2494</v>
      </c>
      <c r="M45">
        <f>SUMIF(AR2008_PeakProj!$A$3:$A$14,ZAM!$A$2,AR2008_PeakProj!K$3:K$14)</f>
        <v>2544</v>
      </c>
      <c r="N45">
        <f>SUMIF(AR2008_PeakProj!$A$3:$A$14,ZAM!$A$2,AR2008_PeakProj!L$3:L$14)</f>
        <v>2589</v>
      </c>
      <c r="O45">
        <f>SUMIF(AR2008_PeakProj!$A$3:$A$14,ZAM!$A$2,AR2008_PeakProj!M$3:M$14)</f>
        <v>2635</v>
      </c>
      <c r="P45">
        <f>SUMIF(AR2008_PeakProj!$A$3:$A$14,ZAM!$A$2,AR2008_PeakProj!N$3:N$14)</f>
        <v>2682</v>
      </c>
      <c r="Q45">
        <f>SUMIF(AR2008_PeakProj!$A$3:$A$14,ZAM!$A$2,AR2008_PeakProj!O$3:O$14)</f>
        <v>2729</v>
      </c>
      <c r="R45">
        <f>SUMIF(AR2008_PeakProj!$A$3:$A$14,ZAM!$A$2,AR2008_PeakProj!P$3:P$14)</f>
        <v>2777</v>
      </c>
      <c r="S45">
        <f>SUMIF(AR2008_PeakProj!$A$3:$A$14,ZAM!$A$2,AR2008_PeakProj!Q$3:Q$14)</f>
        <v>2826</v>
      </c>
      <c r="T45">
        <f>SUMIF(AR2008_PeakProj!$A$3:$A$14,ZAM!$A$2,AR2008_PeakProj!R$3:R$14)</f>
        <v>2876</v>
      </c>
      <c r="U45">
        <f>SUMIF(AR2008_PeakProj!$A$3:$A$14,ZAM!$A$2,AR2008_PeakProj!S$3:S$14)</f>
        <v>2926</v>
      </c>
    </row>
    <row r="46" spans="1:27" x14ac:dyDescent="0.2">
      <c r="A46" s="1" t="s">
        <v>11</v>
      </c>
      <c r="B46" s="1" t="s">
        <v>12</v>
      </c>
      <c r="E46" s="18">
        <f>E45/D45-1</f>
        <v>8.8419851682829398E-2</v>
      </c>
      <c r="F46" s="18">
        <f t="shared" ref="F46:U46" si="19">F45/E45-1</f>
        <v>1.4150943396226356E-2</v>
      </c>
      <c r="G46" s="18">
        <f t="shared" si="19"/>
        <v>8.2687338501292063E-2</v>
      </c>
      <c r="H46" s="18">
        <f t="shared" si="19"/>
        <v>0.11742243436754185</v>
      </c>
      <c r="I46" s="18">
        <f t="shared" si="19"/>
        <v>2.3067065356685124E-2</v>
      </c>
      <c r="J46" s="18">
        <f t="shared" si="19"/>
        <v>1.0438413361169019E-2</v>
      </c>
      <c r="K46" s="18">
        <f t="shared" si="19"/>
        <v>1.074380165289246E-2</v>
      </c>
      <c r="L46" s="18">
        <f t="shared" si="19"/>
        <v>1.9623875715453876E-2</v>
      </c>
      <c r="M46" s="18">
        <f t="shared" si="19"/>
        <v>2.0048115477145245E-2</v>
      </c>
      <c r="N46" s="18">
        <f t="shared" si="19"/>
        <v>1.7688679245283057E-2</v>
      </c>
      <c r="O46" s="18">
        <f t="shared" si="19"/>
        <v>1.7767477790652686E-2</v>
      </c>
      <c r="P46" s="18">
        <f t="shared" si="19"/>
        <v>1.783681214421251E-2</v>
      </c>
      <c r="Q46" s="18">
        <f t="shared" si="19"/>
        <v>1.7524235645040909E-2</v>
      </c>
      <c r="R46" s="18">
        <f t="shared" si="19"/>
        <v>1.7588860388420668E-2</v>
      </c>
      <c r="S46" s="18">
        <f t="shared" si="19"/>
        <v>1.7644940583363411E-2</v>
      </c>
      <c r="T46" s="18">
        <f t="shared" si="19"/>
        <v>1.7692852087756616E-2</v>
      </c>
      <c r="U46" s="18">
        <f t="shared" si="19"/>
        <v>1.7385257301808066E-2</v>
      </c>
    </row>
    <row r="47" spans="1:27" ht="15" x14ac:dyDescent="0.25">
      <c r="A47" s="1" t="s">
        <v>39</v>
      </c>
      <c r="B47" s="1" t="s">
        <v>10</v>
      </c>
      <c r="C47">
        <f>SUMIF(PoolPlan_PeakProj!$A$25:$A$36,ZAM!$A$2,PoolPlan_PeakProj!C$25:C$36)</f>
        <v>1551</v>
      </c>
      <c r="D47">
        <f>SUMIF(PoolPlan_PeakProj!$A$25:$A$36,ZAM!$A$2,PoolPlan_PeakProj!D$25:D$36)</f>
        <v>1643</v>
      </c>
      <c r="E47">
        <f>SUMIF(PoolPlan_PeakProj!$A$25:$A$36,ZAM!$A$2,PoolPlan_PeakProj!E$25:E$36)</f>
        <v>1743</v>
      </c>
      <c r="F47">
        <f>SUMIF(PoolPlan_PeakProj!$A$25:$A$36,ZAM!$A$2,PoolPlan_PeakProj!F$25:F$36)</f>
        <v>1773</v>
      </c>
      <c r="G47">
        <f>SUMIF(PoolPlan_PeakProj!$A$25:$A$36,ZAM!$A$2,PoolPlan_PeakProj!G$25:G$36)</f>
        <v>1860</v>
      </c>
      <c r="H47">
        <f>SUMIF(PoolPlan_PeakProj!$A$25:$A$36,ZAM!$A$2,PoolPlan_PeakProj!H$25:H$36)</f>
        <v>1894</v>
      </c>
      <c r="I47">
        <f>SUMIF(PoolPlan_PeakProj!$A$25:$A$36,ZAM!$A$2,PoolPlan_PeakProj!I$25:I$36)</f>
        <v>1919</v>
      </c>
      <c r="J47">
        <f>SUMIF(PoolPlan_PeakProj!$A$25:$A$36,ZAM!$A$2,PoolPlan_PeakProj!J$25:J$36)</f>
        <v>1944</v>
      </c>
      <c r="K47">
        <f>SUMIF(PoolPlan_PeakProj!$A$25:$A$36,ZAM!$A$2,PoolPlan_PeakProj!K$25:K$36)</f>
        <v>1970</v>
      </c>
      <c r="L47">
        <f>SUMIF(PoolPlan_PeakProj!$A$25:$A$36,ZAM!$A$2,PoolPlan_PeakProj!L$25:L$36)</f>
        <v>2015</v>
      </c>
      <c r="M47">
        <f>SUMIF(PoolPlan_PeakProj!$A$25:$A$36,ZAM!$A$2,PoolPlan_PeakProj!M$25:M$36)</f>
        <v>2061</v>
      </c>
      <c r="N47">
        <f>SUMIF(PoolPlan_PeakProj!$A$25:$A$36,ZAM!$A$2,PoolPlan_PeakProj!N$25:N$36)</f>
        <v>2102</v>
      </c>
      <c r="O47">
        <f>SUMIF(PoolPlan_PeakProj!$A$25:$A$36,ZAM!$A$2,PoolPlan_PeakProj!O$25:O$36)</f>
        <v>2143</v>
      </c>
      <c r="P47">
        <f>SUMIF(PoolPlan_PeakProj!$A$25:$A$36,ZAM!$A$2,PoolPlan_PeakProj!P$25:P$36)</f>
        <v>2171</v>
      </c>
      <c r="Q47">
        <f>SUMIF(PoolPlan_PeakProj!$A$25:$A$36,ZAM!$A$2,PoolPlan_PeakProj!Q$25:Q$36)</f>
        <v>2228</v>
      </c>
      <c r="R47">
        <f>SUMIF(PoolPlan_PeakProj!$A$25:$A$36,ZAM!$A$2,PoolPlan_PeakProj!R$25:R$36)</f>
        <v>2272</v>
      </c>
      <c r="S47">
        <f>SUMIF(PoolPlan_PeakProj!$A$25:$A$36,ZAM!$A$2,PoolPlan_PeakProj!S$25:S$36)</f>
        <v>2302</v>
      </c>
      <c r="T47">
        <f>SUMIF(PoolPlan_PeakProj!$A$25:$A$36,ZAM!$A$2,PoolPlan_PeakProj!T$25:T$36)</f>
        <v>2361</v>
      </c>
      <c r="U47">
        <f>SUMIF(PoolPlan_PeakProj!$A$25:$A$36,ZAM!$A$2,PoolPlan_PeakProj!U$25:U$36)</f>
        <v>2407</v>
      </c>
    </row>
    <row r="48" spans="1:27" x14ac:dyDescent="0.2">
      <c r="A48" s="1" t="s">
        <v>11</v>
      </c>
      <c r="B48" s="1"/>
      <c r="D48" s="18">
        <f>D47/C47-1</f>
        <v>5.9316569954867893E-2</v>
      </c>
      <c r="E48" s="18">
        <f t="shared" ref="E48:U48" si="20">E47/D47-1</f>
        <v>6.0864272671941499E-2</v>
      </c>
      <c r="F48" s="18">
        <f t="shared" si="20"/>
        <v>1.7211703958691871E-2</v>
      </c>
      <c r="G48" s="18">
        <f t="shared" si="20"/>
        <v>4.9069373942470351E-2</v>
      </c>
      <c r="H48" s="18">
        <f t="shared" si="20"/>
        <v>1.8279569892473146E-2</v>
      </c>
      <c r="I48" s="18">
        <f t="shared" si="20"/>
        <v>1.3199577613516311E-2</v>
      </c>
      <c r="J48" s="18">
        <f t="shared" si="20"/>
        <v>1.3027618551328723E-2</v>
      </c>
      <c r="K48" s="18">
        <f t="shared" si="20"/>
        <v>1.337448559670773E-2</v>
      </c>
      <c r="L48" s="18">
        <f t="shared" si="20"/>
        <v>2.2842639593908531E-2</v>
      </c>
      <c r="M48" s="18">
        <f t="shared" si="20"/>
        <v>2.2828784119106604E-2</v>
      </c>
      <c r="N48" s="18">
        <f t="shared" si="20"/>
        <v>1.9893255701115997E-2</v>
      </c>
      <c r="O48" s="18">
        <f t="shared" si="20"/>
        <v>1.9505233111322573E-2</v>
      </c>
      <c r="P48" s="18">
        <f t="shared" si="20"/>
        <v>1.3065795613625752E-2</v>
      </c>
      <c r="Q48" s="18">
        <f t="shared" si="20"/>
        <v>2.6255181943804606E-2</v>
      </c>
      <c r="R48" s="18">
        <f t="shared" si="20"/>
        <v>1.9748653500897717E-2</v>
      </c>
      <c r="S48" s="18">
        <f t="shared" si="20"/>
        <v>1.3204225352112742E-2</v>
      </c>
      <c r="T48" s="18">
        <f t="shared" si="20"/>
        <v>2.5629887054735123E-2</v>
      </c>
      <c r="U48" s="18">
        <f t="shared" si="20"/>
        <v>1.9483269800931735E-2</v>
      </c>
    </row>
    <row r="49" spans="1:20" x14ac:dyDescent="0.2">
      <c r="A49" s="1" t="s">
        <v>70</v>
      </c>
      <c r="B49" s="1" t="s">
        <v>12</v>
      </c>
      <c r="D49" s="18">
        <f t="shared" ref="D49:T49" si="21">D40/(D45*8.76)</f>
        <v>0.84747087185177672</v>
      </c>
      <c r="E49" s="18">
        <f t="shared" si="21"/>
        <v>0.85879689459425834</v>
      </c>
      <c r="F49" s="18">
        <f t="shared" si="21"/>
        <v>0.87011669203450037</v>
      </c>
      <c r="G49" s="18">
        <f t="shared" si="21"/>
        <v>0.8718300803173461</v>
      </c>
      <c r="H49" s="18">
        <f t="shared" si="21"/>
        <v>0.87418248065553694</v>
      </c>
      <c r="I49" s="18">
        <f t="shared" si="21"/>
        <v>0.87592110656714428</v>
      </c>
      <c r="J49" s="18">
        <f t="shared" si="21"/>
        <v>0.87800483037095733</v>
      </c>
      <c r="K49" s="18">
        <f t="shared" si="21"/>
        <v>0.87987283310371611</v>
      </c>
      <c r="L49" s="18">
        <f t="shared" si="21"/>
        <v>0.87415276114730156</v>
      </c>
      <c r="M49" s="18">
        <f t="shared" si="21"/>
        <v>0.86980557709428219</v>
      </c>
      <c r="N49" s="18">
        <f t="shared" si="21"/>
        <v>0.8621389052030809</v>
      </c>
      <c r="O49" s="18">
        <f t="shared" si="21"/>
        <v>0.85605607687175622</v>
      </c>
      <c r="P49" s="18">
        <f t="shared" si="21"/>
        <v>0.84990755212323665</v>
      </c>
      <c r="Q49" s="18">
        <f t="shared" si="21"/>
        <v>0.84401264283001276</v>
      </c>
      <c r="R49" s="18">
        <f t="shared" si="21"/>
        <v>0.83805657364884079</v>
      </c>
      <c r="S49" s="18">
        <f t="shared" si="21"/>
        <v>0.8320083891587251</v>
      </c>
      <c r="T49" s="18">
        <f t="shared" si="21"/>
        <v>0.82595849130895904</v>
      </c>
    </row>
    <row r="50" spans="1:20" x14ac:dyDescent="0.2">
      <c r="A50" s="1" t="s">
        <v>41</v>
      </c>
      <c r="C50" s="18">
        <f t="shared" ref="C50:T50" si="22">C42/(C47*8.76)</f>
        <v>0.83574008814463496</v>
      </c>
      <c r="D50" s="18">
        <f t="shared" si="22"/>
        <v>0.84702779468452016</v>
      </c>
      <c r="E50" s="18">
        <f t="shared" si="22"/>
        <v>0.8590788463704786</v>
      </c>
      <c r="F50" s="18">
        <f t="shared" si="22"/>
        <v>0.86978188813944324</v>
      </c>
      <c r="G50" s="18">
        <f t="shared" si="22"/>
        <v>0.87199882162321396</v>
      </c>
      <c r="H50" s="18">
        <f t="shared" si="22"/>
        <v>0.87376382037966571</v>
      </c>
      <c r="I50" s="18">
        <f t="shared" si="22"/>
        <v>0.87594375875943764</v>
      </c>
      <c r="J50" s="18">
        <f t="shared" si="22"/>
        <v>0.87818507243925825</v>
      </c>
      <c r="K50" s="18">
        <f t="shared" si="22"/>
        <v>0.88009642352177642</v>
      </c>
      <c r="L50" s="18">
        <f t="shared" si="22"/>
        <v>0.87398166717654135</v>
      </c>
      <c r="M50" s="18">
        <f t="shared" si="22"/>
        <v>0.8678790054036809</v>
      </c>
      <c r="N50" s="18">
        <f t="shared" si="22"/>
        <v>0.86186671532656434</v>
      </c>
      <c r="O50" s="18">
        <f t="shared" si="22"/>
        <v>0.85603121131346194</v>
      </c>
      <c r="P50" s="18">
        <f t="shared" si="22"/>
        <v>0.85014375884690052</v>
      </c>
      <c r="Q50" s="18">
        <f t="shared" si="22"/>
        <v>0.84407253469745791</v>
      </c>
      <c r="R50" s="18">
        <f t="shared" si="22"/>
        <v>0.83792567046112287</v>
      </c>
      <c r="S50" s="18">
        <f t="shared" si="22"/>
        <v>0.83196466046995066</v>
      </c>
      <c r="T50" s="18">
        <f t="shared" si="22"/>
        <v>0.82611462134882085</v>
      </c>
    </row>
    <row r="51" spans="1:20" x14ac:dyDescent="0.2">
      <c r="A51" s="1" t="s">
        <v>114</v>
      </c>
      <c r="C51" s="18"/>
      <c r="D51" s="16">
        <f>D50/C50-1</f>
        <v>1.3506240396992553E-2</v>
      </c>
      <c r="E51" s="16">
        <f t="shared" ref="E51:T51" si="23">E50/D50-1</f>
        <v>1.4227457188045411E-2</v>
      </c>
      <c r="F51" s="16">
        <f t="shared" si="23"/>
        <v>1.2458742074937579E-2</v>
      </c>
      <c r="G51" s="16">
        <f t="shared" si="23"/>
        <v>2.5488384088026006E-3</v>
      </c>
      <c r="H51" s="16">
        <f t="shared" si="23"/>
        <v>2.0240838779645998E-3</v>
      </c>
      <c r="I51" s="16">
        <f t="shared" si="23"/>
        <v>2.4948828607078699E-3</v>
      </c>
      <c r="J51" s="16">
        <f t="shared" si="23"/>
        <v>2.558741537236342E-3</v>
      </c>
      <c r="K51" s="16">
        <f t="shared" si="23"/>
        <v>2.1764786746023557E-3</v>
      </c>
      <c r="L51" s="16">
        <f t="shared" si="23"/>
        <v>-6.9478254675395812E-3</v>
      </c>
      <c r="M51" s="16">
        <f t="shared" si="23"/>
        <v>-6.982597006382929E-3</v>
      </c>
      <c r="N51" s="16">
        <f t="shared" si="23"/>
        <v>-6.927567137449131E-3</v>
      </c>
      <c r="O51" s="16">
        <f t="shared" si="23"/>
        <v>-6.7707731477846256E-3</v>
      </c>
      <c r="P51" s="16">
        <f t="shared" si="23"/>
        <v>-6.877614260732301E-3</v>
      </c>
      <c r="Q51" s="16">
        <f t="shared" si="23"/>
        <v>-7.1414088338157544E-3</v>
      </c>
      <c r="R51" s="16">
        <f t="shared" si="23"/>
        <v>-7.2823886380075642E-3</v>
      </c>
      <c r="S51" s="16">
        <f t="shared" si="23"/>
        <v>-7.1140080812798212E-3</v>
      </c>
      <c r="T51" s="16">
        <f t="shared" si="23"/>
        <v>-7.0315956904050125E-3</v>
      </c>
    </row>
    <row r="52" spans="1:20" ht="15" x14ac:dyDescent="0.25">
      <c r="A52" s="1" t="s">
        <v>84</v>
      </c>
      <c r="B52" s="1" t="s">
        <v>10</v>
      </c>
      <c r="C52" s="38">
        <f>VLOOKUP($A$2,AR2008_Stats!$B$4:$O$15,AR2008_Stats!E$1,FALSE)</f>
        <v>1630</v>
      </c>
    </row>
    <row r="53" spans="1:20" ht="15" x14ac:dyDescent="0.25">
      <c r="A53" s="1" t="s">
        <v>83</v>
      </c>
      <c r="B53" s="1" t="s">
        <v>10</v>
      </c>
      <c r="C53" s="74">
        <f>VLOOKUP($A$2,'[1]Total Existing Capacity'!$A$3:$J$14,5,FALSE)</f>
        <v>1762</v>
      </c>
    </row>
    <row r="55" spans="1:20" x14ac:dyDescent="0.2">
      <c r="A55" s="3" t="s">
        <v>71</v>
      </c>
    </row>
    <row r="56" spans="1:20" x14ac:dyDescent="0.2">
      <c r="A56" s="2" t="s">
        <v>72</v>
      </c>
    </row>
    <row r="57" spans="1:20" x14ac:dyDescent="0.2">
      <c r="A57" s="2" t="s">
        <v>73</v>
      </c>
    </row>
    <row r="59" spans="1:20" x14ac:dyDescent="0.2">
      <c r="A59" s="3" t="s">
        <v>80</v>
      </c>
    </row>
    <row r="60" spans="1:20" ht="15" x14ac:dyDescent="0.25">
      <c r="A60" t="s">
        <v>13</v>
      </c>
      <c r="B60" s="2" t="s">
        <v>97</v>
      </c>
    </row>
    <row r="61" spans="1:20" ht="15" x14ac:dyDescent="0.25">
      <c r="A61" t="s">
        <v>14</v>
      </c>
      <c r="B61" s="2" t="s">
        <v>98</v>
      </c>
    </row>
    <row r="62" spans="1:20" ht="15" x14ac:dyDescent="0.25">
      <c r="A62" t="s">
        <v>15</v>
      </c>
      <c r="B62" s="2" t="s">
        <v>32</v>
      </c>
    </row>
    <row r="63" spans="1:20" ht="15" x14ac:dyDescent="0.25">
      <c r="A63" t="s">
        <v>16</v>
      </c>
      <c r="B63" s="2" t="s">
        <v>99</v>
      </c>
    </row>
    <row r="64" spans="1:20" ht="15" x14ac:dyDescent="0.25">
      <c r="A64" t="s">
        <v>17</v>
      </c>
      <c r="B64" s="2" t="s">
        <v>100</v>
      </c>
    </row>
    <row r="65" spans="1:2" ht="15" x14ac:dyDescent="0.25">
      <c r="A65" t="s">
        <v>18</v>
      </c>
      <c r="B65" s="2" t="s">
        <v>101</v>
      </c>
    </row>
    <row r="66" spans="1:2" ht="15" x14ac:dyDescent="0.25">
      <c r="A66" t="s">
        <v>19</v>
      </c>
      <c r="B66" s="2" t="s">
        <v>102</v>
      </c>
    </row>
    <row r="67" spans="1:2" ht="15" x14ac:dyDescent="0.25">
      <c r="A67" t="s">
        <v>21</v>
      </c>
      <c r="B67" s="2" t="s">
        <v>103</v>
      </c>
    </row>
    <row r="68" spans="1:2" ht="15" x14ac:dyDescent="0.25">
      <c r="A68" t="s">
        <v>22</v>
      </c>
      <c r="B68" s="2" t="s">
        <v>104</v>
      </c>
    </row>
    <row r="69" spans="1:2" ht="15" x14ac:dyDescent="0.25">
      <c r="A69" t="s">
        <v>23</v>
      </c>
      <c r="B69" s="2" t="s">
        <v>105</v>
      </c>
    </row>
    <row r="70" spans="1:2" ht="15" x14ac:dyDescent="0.25">
      <c r="A70" t="s">
        <v>24</v>
      </c>
      <c r="B70" s="2" t="s">
        <v>106</v>
      </c>
    </row>
    <row r="71" spans="1:2" ht="15" x14ac:dyDescent="0.25">
      <c r="A71" t="s">
        <v>20</v>
      </c>
      <c r="B71" s="2" t="s">
        <v>107</v>
      </c>
    </row>
  </sheetData>
  <dataValidations count="4">
    <dataValidation type="list" allowBlank="1" showInputMessage="1" showErrorMessage="1" sqref="A2">
      <formula1>$A$60:$A$71</formula1>
    </dataValidation>
    <dataValidation type="list" allowBlank="1" showInputMessage="1" showErrorMessage="1" sqref="B3">
      <formula1>$A$56:$A$57</formula1>
    </dataValidation>
    <dataValidation type="list" allowBlank="1" showInputMessage="1" showErrorMessage="1" sqref="B13:B17">
      <formula1>$B$60:$B$72</formula1>
    </dataValidation>
    <dataValidation type="list" allowBlank="1" showInputMessage="1" showErrorMessage="1" sqref="B18">
      <formula1>$B$60:$B$71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D71"/>
  <sheetViews>
    <sheetView workbookViewId="0"/>
  </sheetViews>
  <sheetFormatPr defaultRowHeight="12.75" x14ac:dyDescent="0.2"/>
  <cols>
    <col min="1" max="1" width="66.140625" style="2" customWidth="1"/>
    <col min="2" max="2" width="9.140625" style="2"/>
    <col min="3" max="26" width="11.28515625" style="2" bestFit="1" customWidth="1"/>
    <col min="27" max="27" width="9.85546875" style="2" customWidth="1"/>
    <col min="28" max="253" width="9.140625" style="2"/>
    <col min="254" max="254" width="66.140625" style="2" customWidth="1"/>
    <col min="255" max="257" width="9.140625" style="2"/>
    <col min="258" max="258" width="9.7109375" style="2" customWidth="1"/>
    <col min="259" max="282" width="11.28515625" style="2" bestFit="1" customWidth="1"/>
    <col min="283" max="509" width="9.140625" style="2"/>
    <col min="510" max="510" width="66.140625" style="2" customWidth="1"/>
    <col min="511" max="513" width="9.140625" style="2"/>
    <col min="514" max="514" width="9.7109375" style="2" customWidth="1"/>
    <col min="515" max="538" width="11.28515625" style="2" bestFit="1" customWidth="1"/>
    <col min="539" max="765" width="9.140625" style="2"/>
    <col min="766" max="766" width="66.140625" style="2" customWidth="1"/>
    <col min="767" max="769" width="9.140625" style="2"/>
    <col min="770" max="770" width="9.7109375" style="2" customWidth="1"/>
    <col min="771" max="794" width="11.28515625" style="2" bestFit="1" customWidth="1"/>
    <col min="795" max="1021" width="9.140625" style="2"/>
    <col min="1022" max="1022" width="66.140625" style="2" customWidth="1"/>
    <col min="1023" max="1025" width="9.140625" style="2"/>
    <col min="1026" max="1026" width="9.7109375" style="2" customWidth="1"/>
    <col min="1027" max="1050" width="11.28515625" style="2" bestFit="1" customWidth="1"/>
    <col min="1051" max="1277" width="9.140625" style="2"/>
    <col min="1278" max="1278" width="66.140625" style="2" customWidth="1"/>
    <col min="1279" max="1281" width="9.140625" style="2"/>
    <col min="1282" max="1282" width="9.7109375" style="2" customWidth="1"/>
    <col min="1283" max="1306" width="11.28515625" style="2" bestFit="1" customWidth="1"/>
    <col min="1307" max="1533" width="9.140625" style="2"/>
    <col min="1534" max="1534" width="66.140625" style="2" customWidth="1"/>
    <col min="1535" max="1537" width="9.140625" style="2"/>
    <col min="1538" max="1538" width="9.7109375" style="2" customWidth="1"/>
    <col min="1539" max="1562" width="11.28515625" style="2" bestFit="1" customWidth="1"/>
    <col min="1563" max="1789" width="9.140625" style="2"/>
    <col min="1790" max="1790" width="66.140625" style="2" customWidth="1"/>
    <col min="1791" max="1793" width="9.140625" style="2"/>
    <col min="1794" max="1794" width="9.7109375" style="2" customWidth="1"/>
    <col min="1795" max="1818" width="11.28515625" style="2" bestFit="1" customWidth="1"/>
    <col min="1819" max="2045" width="9.140625" style="2"/>
    <col min="2046" max="2046" width="66.140625" style="2" customWidth="1"/>
    <col min="2047" max="2049" width="9.140625" style="2"/>
    <col min="2050" max="2050" width="9.7109375" style="2" customWidth="1"/>
    <col min="2051" max="2074" width="11.28515625" style="2" bestFit="1" customWidth="1"/>
    <col min="2075" max="2301" width="9.140625" style="2"/>
    <col min="2302" max="2302" width="66.140625" style="2" customWidth="1"/>
    <col min="2303" max="2305" width="9.140625" style="2"/>
    <col min="2306" max="2306" width="9.7109375" style="2" customWidth="1"/>
    <col min="2307" max="2330" width="11.28515625" style="2" bestFit="1" customWidth="1"/>
    <col min="2331" max="2557" width="9.140625" style="2"/>
    <col min="2558" max="2558" width="66.140625" style="2" customWidth="1"/>
    <col min="2559" max="2561" width="9.140625" style="2"/>
    <col min="2562" max="2562" width="9.7109375" style="2" customWidth="1"/>
    <col min="2563" max="2586" width="11.28515625" style="2" bestFit="1" customWidth="1"/>
    <col min="2587" max="2813" width="9.140625" style="2"/>
    <col min="2814" max="2814" width="66.140625" style="2" customWidth="1"/>
    <col min="2815" max="2817" width="9.140625" style="2"/>
    <col min="2818" max="2818" width="9.7109375" style="2" customWidth="1"/>
    <col min="2819" max="2842" width="11.28515625" style="2" bestFit="1" customWidth="1"/>
    <col min="2843" max="3069" width="9.140625" style="2"/>
    <col min="3070" max="3070" width="66.140625" style="2" customWidth="1"/>
    <col min="3071" max="3073" width="9.140625" style="2"/>
    <col min="3074" max="3074" width="9.7109375" style="2" customWidth="1"/>
    <col min="3075" max="3098" width="11.28515625" style="2" bestFit="1" customWidth="1"/>
    <col min="3099" max="3325" width="9.140625" style="2"/>
    <col min="3326" max="3326" width="66.140625" style="2" customWidth="1"/>
    <col min="3327" max="3329" width="9.140625" style="2"/>
    <col min="3330" max="3330" width="9.7109375" style="2" customWidth="1"/>
    <col min="3331" max="3354" width="11.28515625" style="2" bestFit="1" customWidth="1"/>
    <col min="3355" max="3581" width="9.140625" style="2"/>
    <col min="3582" max="3582" width="66.140625" style="2" customWidth="1"/>
    <col min="3583" max="3585" width="9.140625" style="2"/>
    <col min="3586" max="3586" width="9.7109375" style="2" customWidth="1"/>
    <col min="3587" max="3610" width="11.28515625" style="2" bestFit="1" customWidth="1"/>
    <col min="3611" max="3837" width="9.140625" style="2"/>
    <col min="3838" max="3838" width="66.140625" style="2" customWidth="1"/>
    <col min="3839" max="3841" width="9.140625" style="2"/>
    <col min="3842" max="3842" width="9.7109375" style="2" customWidth="1"/>
    <col min="3843" max="3866" width="11.28515625" style="2" bestFit="1" customWidth="1"/>
    <col min="3867" max="4093" width="9.140625" style="2"/>
    <col min="4094" max="4094" width="66.140625" style="2" customWidth="1"/>
    <col min="4095" max="4097" width="9.140625" style="2"/>
    <col min="4098" max="4098" width="9.7109375" style="2" customWidth="1"/>
    <col min="4099" max="4122" width="11.28515625" style="2" bestFit="1" customWidth="1"/>
    <col min="4123" max="4349" width="9.140625" style="2"/>
    <col min="4350" max="4350" width="66.140625" style="2" customWidth="1"/>
    <col min="4351" max="4353" width="9.140625" style="2"/>
    <col min="4354" max="4354" width="9.7109375" style="2" customWidth="1"/>
    <col min="4355" max="4378" width="11.28515625" style="2" bestFit="1" customWidth="1"/>
    <col min="4379" max="4605" width="9.140625" style="2"/>
    <col min="4606" max="4606" width="66.140625" style="2" customWidth="1"/>
    <col min="4607" max="4609" width="9.140625" style="2"/>
    <col min="4610" max="4610" width="9.7109375" style="2" customWidth="1"/>
    <col min="4611" max="4634" width="11.28515625" style="2" bestFit="1" customWidth="1"/>
    <col min="4635" max="4861" width="9.140625" style="2"/>
    <col min="4862" max="4862" width="66.140625" style="2" customWidth="1"/>
    <col min="4863" max="4865" width="9.140625" style="2"/>
    <col min="4866" max="4866" width="9.7109375" style="2" customWidth="1"/>
    <col min="4867" max="4890" width="11.28515625" style="2" bestFit="1" customWidth="1"/>
    <col min="4891" max="5117" width="9.140625" style="2"/>
    <col min="5118" max="5118" width="66.140625" style="2" customWidth="1"/>
    <col min="5119" max="5121" width="9.140625" style="2"/>
    <col min="5122" max="5122" width="9.7109375" style="2" customWidth="1"/>
    <col min="5123" max="5146" width="11.28515625" style="2" bestFit="1" customWidth="1"/>
    <col min="5147" max="5373" width="9.140625" style="2"/>
    <col min="5374" max="5374" width="66.140625" style="2" customWidth="1"/>
    <col min="5375" max="5377" width="9.140625" style="2"/>
    <col min="5378" max="5378" width="9.7109375" style="2" customWidth="1"/>
    <col min="5379" max="5402" width="11.28515625" style="2" bestFit="1" customWidth="1"/>
    <col min="5403" max="5629" width="9.140625" style="2"/>
    <col min="5630" max="5630" width="66.140625" style="2" customWidth="1"/>
    <col min="5631" max="5633" width="9.140625" style="2"/>
    <col min="5634" max="5634" width="9.7109375" style="2" customWidth="1"/>
    <col min="5635" max="5658" width="11.28515625" style="2" bestFit="1" customWidth="1"/>
    <col min="5659" max="5885" width="9.140625" style="2"/>
    <col min="5886" max="5886" width="66.140625" style="2" customWidth="1"/>
    <col min="5887" max="5889" width="9.140625" style="2"/>
    <col min="5890" max="5890" width="9.7109375" style="2" customWidth="1"/>
    <col min="5891" max="5914" width="11.28515625" style="2" bestFit="1" customWidth="1"/>
    <col min="5915" max="6141" width="9.140625" style="2"/>
    <col min="6142" max="6142" width="66.140625" style="2" customWidth="1"/>
    <col min="6143" max="6145" width="9.140625" style="2"/>
    <col min="6146" max="6146" width="9.7109375" style="2" customWidth="1"/>
    <col min="6147" max="6170" width="11.28515625" style="2" bestFit="1" customWidth="1"/>
    <col min="6171" max="6397" width="9.140625" style="2"/>
    <col min="6398" max="6398" width="66.140625" style="2" customWidth="1"/>
    <col min="6399" max="6401" width="9.140625" style="2"/>
    <col min="6402" max="6402" width="9.7109375" style="2" customWidth="1"/>
    <col min="6403" max="6426" width="11.28515625" style="2" bestFit="1" customWidth="1"/>
    <col min="6427" max="6653" width="9.140625" style="2"/>
    <col min="6654" max="6654" width="66.140625" style="2" customWidth="1"/>
    <col min="6655" max="6657" width="9.140625" style="2"/>
    <col min="6658" max="6658" width="9.7109375" style="2" customWidth="1"/>
    <col min="6659" max="6682" width="11.28515625" style="2" bestFit="1" customWidth="1"/>
    <col min="6683" max="6909" width="9.140625" style="2"/>
    <col min="6910" max="6910" width="66.140625" style="2" customWidth="1"/>
    <col min="6911" max="6913" width="9.140625" style="2"/>
    <col min="6914" max="6914" width="9.7109375" style="2" customWidth="1"/>
    <col min="6915" max="6938" width="11.28515625" style="2" bestFit="1" customWidth="1"/>
    <col min="6939" max="7165" width="9.140625" style="2"/>
    <col min="7166" max="7166" width="66.140625" style="2" customWidth="1"/>
    <col min="7167" max="7169" width="9.140625" style="2"/>
    <col min="7170" max="7170" width="9.7109375" style="2" customWidth="1"/>
    <col min="7171" max="7194" width="11.28515625" style="2" bestFit="1" customWidth="1"/>
    <col min="7195" max="7421" width="9.140625" style="2"/>
    <col min="7422" max="7422" width="66.140625" style="2" customWidth="1"/>
    <col min="7423" max="7425" width="9.140625" style="2"/>
    <col min="7426" max="7426" width="9.7109375" style="2" customWidth="1"/>
    <col min="7427" max="7450" width="11.28515625" style="2" bestFit="1" customWidth="1"/>
    <col min="7451" max="7677" width="9.140625" style="2"/>
    <col min="7678" max="7678" width="66.140625" style="2" customWidth="1"/>
    <col min="7679" max="7681" width="9.140625" style="2"/>
    <col min="7682" max="7682" width="9.7109375" style="2" customWidth="1"/>
    <col min="7683" max="7706" width="11.28515625" style="2" bestFit="1" customWidth="1"/>
    <col min="7707" max="7933" width="9.140625" style="2"/>
    <col min="7934" max="7934" width="66.140625" style="2" customWidth="1"/>
    <col min="7935" max="7937" width="9.140625" style="2"/>
    <col min="7938" max="7938" width="9.7109375" style="2" customWidth="1"/>
    <col min="7939" max="7962" width="11.28515625" style="2" bestFit="1" customWidth="1"/>
    <col min="7963" max="8189" width="9.140625" style="2"/>
    <col min="8190" max="8190" width="66.140625" style="2" customWidth="1"/>
    <col min="8191" max="8193" width="9.140625" style="2"/>
    <col min="8194" max="8194" width="9.7109375" style="2" customWidth="1"/>
    <col min="8195" max="8218" width="11.28515625" style="2" bestFit="1" customWidth="1"/>
    <col min="8219" max="8445" width="9.140625" style="2"/>
    <col min="8446" max="8446" width="66.140625" style="2" customWidth="1"/>
    <col min="8447" max="8449" width="9.140625" style="2"/>
    <col min="8450" max="8450" width="9.7109375" style="2" customWidth="1"/>
    <col min="8451" max="8474" width="11.28515625" style="2" bestFit="1" customWidth="1"/>
    <col min="8475" max="8701" width="9.140625" style="2"/>
    <col min="8702" max="8702" width="66.140625" style="2" customWidth="1"/>
    <col min="8703" max="8705" width="9.140625" style="2"/>
    <col min="8706" max="8706" width="9.7109375" style="2" customWidth="1"/>
    <col min="8707" max="8730" width="11.28515625" style="2" bestFit="1" customWidth="1"/>
    <col min="8731" max="8957" width="9.140625" style="2"/>
    <col min="8958" max="8958" width="66.140625" style="2" customWidth="1"/>
    <col min="8959" max="8961" width="9.140625" style="2"/>
    <col min="8962" max="8962" width="9.7109375" style="2" customWidth="1"/>
    <col min="8963" max="8986" width="11.28515625" style="2" bestFit="1" customWidth="1"/>
    <col min="8987" max="9213" width="9.140625" style="2"/>
    <col min="9214" max="9214" width="66.140625" style="2" customWidth="1"/>
    <col min="9215" max="9217" width="9.140625" style="2"/>
    <col min="9218" max="9218" width="9.7109375" style="2" customWidth="1"/>
    <col min="9219" max="9242" width="11.28515625" style="2" bestFit="1" customWidth="1"/>
    <col min="9243" max="9469" width="9.140625" style="2"/>
    <col min="9470" max="9470" width="66.140625" style="2" customWidth="1"/>
    <col min="9471" max="9473" width="9.140625" style="2"/>
    <col min="9474" max="9474" width="9.7109375" style="2" customWidth="1"/>
    <col min="9475" max="9498" width="11.28515625" style="2" bestFit="1" customWidth="1"/>
    <col min="9499" max="9725" width="9.140625" style="2"/>
    <col min="9726" max="9726" width="66.140625" style="2" customWidth="1"/>
    <col min="9727" max="9729" width="9.140625" style="2"/>
    <col min="9730" max="9730" width="9.7109375" style="2" customWidth="1"/>
    <col min="9731" max="9754" width="11.28515625" style="2" bestFit="1" customWidth="1"/>
    <col min="9755" max="9981" width="9.140625" style="2"/>
    <col min="9982" max="9982" width="66.140625" style="2" customWidth="1"/>
    <col min="9983" max="9985" width="9.140625" style="2"/>
    <col min="9986" max="9986" width="9.7109375" style="2" customWidth="1"/>
    <col min="9987" max="10010" width="11.28515625" style="2" bestFit="1" customWidth="1"/>
    <col min="10011" max="10237" width="9.140625" style="2"/>
    <col min="10238" max="10238" width="66.140625" style="2" customWidth="1"/>
    <col min="10239" max="10241" width="9.140625" style="2"/>
    <col min="10242" max="10242" width="9.7109375" style="2" customWidth="1"/>
    <col min="10243" max="10266" width="11.28515625" style="2" bestFit="1" customWidth="1"/>
    <col min="10267" max="10493" width="9.140625" style="2"/>
    <col min="10494" max="10494" width="66.140625" style="2" customWidth="1"/>
    <col min="10495" max="10497" width="9.140625" style="2"/>
    <col min="10498" max="10498" width="9.7109375" style="2" customWidth="1"/>
    <col min="10499" max="10522" width="11.28515625" style="2" bestFit="1" customWidth="1"/>
    <col min="10523" max="10749" width="9.140625" style="2"/>
    <col min="10750" max="10750" width="66.140625" style="2" customWidth="1"/>
    <col min="10751" max="10753" width="9.140625" style="2"/>
    <col min="10754" max="10754" width="9.7109375" style="2" customWidth="1"/>
    <col min="10755" max="10778" width="11.28515625" style="2" bestFit="1" customWidth="1"/>
    <col min="10779" max="11005" width="9.140625" style="2"/>
    <col min="11006" max="11006" width="66.140625" style="2" customWidth="1"/>
    <col min="11007" max="11009" width="9.140625" style="2"/>
    <col min="11010" max="11010" width="9.7109375" style="2" customWidth="1"/>
    <col min="11011" max="11034" width="11.28515625" style="2" bestFit="1" customWidth="1"/>
    <col min="11035" max="11261" width="9.140625" style="2"/>
    <col min="11262" max="11262" width="66.140625" style="2" customWidth="1"/>
    <col min="11263" max="11265" width="9.140625" style="2"/>
    <col min="11266" max="11266" width="9.7109375" style="2" customWidth="1"/>
    <col min="11267" max="11290" width="11.28515625" style="2" bestFit="1" customWidth="1"/>
    <col min="11291" max="11517" width="9.140625" style="2"/>
    <col min="11518" max="11518" width="66.140625" style="2" customWidth="1"/>
    <col min="11519" max="11521" width="9.140625" style="2"/>
    <col min="11522" max="11522" width="9.7109375" style="2" customWidth="1"/>
    <col min="11523" max="11546" width="11.28515625" style="2" bestFit="1" customWidth="1"/>
    <col min="11547" max="11773" width="9.140625" style="2"/>
    <col min="11774" max="11774" width="66.140625" style="2" customWidth="1"/>
    <col min="11775" max="11777" width="9.140625" style="2"/>
    <col min="11778" max="11778" width="9.7109375" style="2" customWidth="1"/>
    <col min="11779" max="11802" width="11.28515625" style="2" bestFit="1" customWidth="1"/>
    <col min="11803" max="12029" width="9.140625" style="2"/>
    <col min="12030" max="12030" width="66.140625" style="2" customWidth="1"/>
    <col min="12031" max="12033" width="9.140625" style="2"/>
    <col min="12034" max="12034" width="9.7109375" style="2" customWidth="1"/>
    <col min="12035" max="12058" width="11.28515625" style="2" bestFit="1" customWidth="1"/>
    <col min="12059" max="12285" width="9.140625" style="2"/>
    <col min="12286" max="12286" width="66.140625" style="2" customWidth="1"/>
    <col min="12287" max="12289" width="9.140625" style="2"/>
    <col min="12290" max="12290" width="9.7109375" style="2" customWidth="1"/>
    <col min="12291" max="12314" width="11.28515625" style="2" bestFit="1" customWidth="1"/>
    <col min="12315" max="12541" width="9.140625" style="2"/>
    <col min="12542" max="12542" width="66.140625" style="2" customWidth="1"/>
    <col min="12543" max="12545" width="9.140625" style="2"/>
    <col min="12546" max="12546" width="9.7109375" style="2" customWidth="1"/>
    <col min="12547" max="12570" width="11.28515625" style="2" bestFit="1" customWidth="1"/>
    <col min="12571" max="12797" width="9.140625" style="2"/>
    <col min="12798" max="12798" width="66.140625" style="2" customWidth="1"/>
    <col min="12799" max="12801" width="9.140625" style="2"/>
    <col min="12802" max="12802" width="9.7109375" style="2" customWidth="1"/>
    <col min="12803" max="12826" width="11.28515625" style="2" bestFit="1" customWidth="1"/>
    <col min="12827" max="13053" width="9.140625" style="2"/>
    <col min="13054" max="13054" width="66.140625" style="2" customWidth="1"/>
    <col min="13055" max="13057" width="9.140625" style="2"/>
    <col min="13058" max="13058" width="9.7109375" style="2" customWidth="1"/>
    <col min="13059" max="13082" width="11.28515625" style="2" bestFit="1" customWidth="1"/>
    <col min="13083" max="13309" width="9.140625" style="2"/>
    <col min="13310" max="13310" width="66.140625" style="2" customWidth="1"/>
    <col min="13311" max="13313" width="9.140625" style="2"/>
    <col min="13314" max="13314" width="9.7109375" style="2" customWidth="1"/>
    <col min="13315" max="13338" width="11.28515625" style="2" bestFit="1" customWidth="1"/>
    <col min="13339" max="13565" width="9.140625" style="2"/>
    <col min="13566" max="13566" width="66.140625" style="2" customWidth="1"/>
    <col min="13567" max="13569" width="9.140625" style="2"/>
    <col min="13570" max="13570" width="9.7109375" style="2" customWidth="1"/>
    <col min="13571" max="13594" width="11.28515625" style="2" bestFit="1" customWidth="1"/>
    <col min="13595" max="13821" width="9.140625" style="2"/>
    <col min="13822" max="13822" width="66.140625" style="2" customWidth="1"/>
    <col min="13823" max="13825" width="9.140625" style="2"/>
    <col min="13826" max="13826" width="9.7109375" style="2" customWidth="1"/>
    <col min="13827" max="13850" width="11.28515625" style="2" bestFit="1" customWidth="1"/>
    <col min="13851" max="14077" width="9.140625" style="2"/>
    <col min="14078" max="14078" width="66.140625" style="2" customWidth="1"/>
    <col min="14079" max="14081" width="9.140625" style="2"/>
    <col min="14082" max="14082" width="9.7109375" style="2" customWidth="1"/>
    <col min="14083" max="14106" width="11.28515625" style="2" bestFit="1" customWidth="1"/>
    <col min="14107" max="14333" width="9.140625" style="2"/>
    <col min="14334" max="14334" width="66.140625" style="2" customWidth="1"/>
    <col min="14335" max="14337" width="9.140625" style="2"/>
    <col min="14338" max="14338" width="9.7109375" style="2" customWidth="1"/>
    <col min="14339" max="14362" width="11.28515625" style="2" bestFit="1" customWidth="1"/>
    <col min="14363" max="14589" width="9.140625" style="2"/>
    <col min="14590" max="14590" width="66.140625" style="2" customWidth="1"/>
    <col min="14591" max="14593" width="9.140625" style="2"/>
    <col min="14594" max="14594" width="9.7109375" style="2" customWidth="1"/>
    <col min="14595" max="14618" width="11.28515625" style="2" bestFit="1" customWidth="1"/>
    <col min="14619" max="14845" width="9.140625" style="2"/>
    <col min="14846" max="14846" width="66.140625" style="2" customWidth="1"/>
    <col min="14847" max="14849" width="9.140625" style="2"/>
    <col min="14850" max="14850" width="9.7109375" style="2" customWidth="1"/>
    <col min="14851" max="14874" width="11.28515625" style="2" bestFit="1" customWidth="1"/>
    <col min="14875" max="15101" width="9.140625" style="2"/>
    <col min="15102" max="15102" width="66.140625" style="2" customWidth="1"/>
    <col min="15103" max="15105" width="9.140625" style="2"/>
    <col min="15106" max="15106" width="9.7109375" style="2" customWidth="1"/>
    <col min="15107" max="15130" width="11.28515625" style="2" bestFit="1" customWidth="1"/>
    <col min="15131" max="15357" width="9.140625" style="2"/>
    <col min="15358" max="15358" width="66.140625" style="2" customWidth="1"/>
    <col min="15359" max="15361" width="9.140625" style="2"/>
    <col min="15362" max="15362" width="9.7109375" style="2" customWidth="1"/>
    <col min="15363" max="15386" width="11.28515625" style="2" bestFit="1" customWidth="1"/>
    <col min="15387" max="15613" width="9.140625" style="2"/>
    <col min="15614" max="15614" width="66.140625" style="2" customWidth="1"/>
    <col min="15615" max="15617" width="9.140625" style="2"/>
    <col min="15618" max="15618" width="9.7109375" style="2" customWidth="1"/>
    <col min="15619" max="15642" width="11.28515625" style="2" bestFit="1" customWidth="1"/>
    <col min="15643" max="15869" width="9.140625" style="2"/>
    <col min="15870" max="15870" width="66.140625" style="2" customWidth="1"/>
    <col min="15871" max="15873" width="9.140625" style="2"/>
    <col min="15874" max="15874" width="9.7109375" style="2" customWidth="1"/>
    <col min="15875" max="15898" width="11.28515625" style="2" bestFit="1" customWidth="1"/>
    <col min="15899" max="16125" width="9.140625" style="2"/>
    <col min="16126" max="16126" width="66.140625" style="2" customWidth="1"/>
    <col min="16127" max="16129" width="9.140625" style="2"/>
    <col min="16130" max="16130" width="9.7109375" style="2" customWidth="1"/>
    <col min="16131" max="16154" width="11.28515625" style="2" bestFit="1" customWidth="1"/>
    <col min="16155" max="16384" width="9.140625" style="2"/>
  </cols>
  <sheetData>
    <row r="1" spans="1:30" ht="20.25" thickBot="1" x14ac:dyDescent="0.35">
      <c r="A1" s="20" t="s">
        <v>117</v>
      </c>
    </row>
    <row r="2" spans="1:30" ht="15.75" thickTop="1" x14ac:dyDescent="0.25">
      <c r="A2" s="21" t="s">
        <v>24</v>
      </c>
      <c r="B2" s="31" t="s">
        <v>106</v>
      </c>
      <c r="C2" s="1">
        <v>2007</v>
      </c>
      <c r="D2" s="1">
        <v>2008</v>
      </c>
      <c r="E2" s="1">
        <v>2009</v>
      </c>
      <c r="F2" s="1">
        <v>2010</v>
      </c>
      <c r="G2" s="1">
        <v>2011</v>
      </c>
      <c r="H2" s="1">
        <v>2012</v>
      </c>
      <c r="I2" s="1">
        <v>2013</v>
      </c>
      <c r="J2" s="1">
        <v>2014</v>
      </c>
      <c r="K2" s="1">
        <v>2015</v>
      </c>
      <c r="L2" s="1">
        <v>2016</v>
      </c>
      <c r="M2" s="1">
        <v>2017</v>
      </c>
      <c r="N2" s="1">
        <v>2018</v>
      </c>
      <c r="O2" s="1">
        <v>2019</v>
      </c>
      <c r="P2" s="1">
        <v>2020</v>
      </c>
      <c r="Q2" s="1">
        <v>2021</v>
      </c>
      <c r="R2" s="1">
        <v>2022</v>
      </c>
      <c r="S2" s="1">
        <v>2023</v>
      </c>
      <c r="T2" s="1">
        <v>2024</v>
      </c>
      <c r="U2" s="1">
        <v>2025</v>
      </c>
      <c r="V2" s="1">
        <v>2026</v>
      </c>
      <c r="W2" s="1">
        <v>2027</v>
      </c>
      <c r="X2" s="1">
        <v>2028</v>
      </c>
      <c r="Y2" s="1">
        <v>2029</v>
      </c>
      <c r="Z2" s="1">
        <v>2030</v>
      </c>
      <c r="AA2" s="1">
        <v>2031</v>
      </c>
      <c r="AB2" s="2">
        <v>2040</v>
      </c>
      <c r="AC2" s="2">
        <v>2050</v>
      </c>
      <c r="AD2" s="2">
        <v>2060</v>
      </c>
    </row>
    <row r="3" spans="1:30" ht="15" x14ac:dyDescent="0.25">
      <c r="A3" s="3" t="s">
        <v>0</v>
      </c>
      <c r="B3" s="31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0" ht="15" x14ac:dyDescent="0.25">
      <c r="A4" s="1" t="s">
        <v>38</v>
      </c>
      <c r="C4" s="24"/>
      <c r="D4" s="32">
        <f t="shared" ref="D4:U4" si="0">IF($B$3="AR 2008",D41,D43)</f>
        <v>1.8246121694397655E-2</v>
      </c>
      <c r="E4" s="32">
        <f t="shared" si="0"/>
        <v>2.0208399115882569E-2</v>
      </c>
      <c r="F4" s="32">
        <f t="shared" si="0"/>
        <v>2.2980501392757757E-2</v>
      </c>
      <c r="G4" s="32">
        <f t="shared" si="0"/>
        <v>2.8061417441948455E-2</v>
      </c>
      <c r="H4" s="32">
        <f t="shared" si="0"/>
        <v>2.9281930547380819E-2</v>
      </c>
      <c r="I4" s="32">
        <f t="shared" si="0"/>
        <v>2.9306647605432445E-2</v>
      </c>
      <c r="J4" s="32">
        <f t="shared" si="0"/>
        <v>2.9722222222222205E-2</v>
      </c>
      <c r="K4" s="32">
        <f t="shared" si="0"/>
        <v>3.2978149446992067E-2</v>
      </c>
      <c r="L4" s="32">
        <f t="shared" si="0"/>
        <v>3.3426911275053817E-2</v>
      </c>
      <c r="M4" s="32">
        <f t="shared" si="0"/>
        <v>3.3419672752542873E-2</v>
      </c>
      <c r="N4" s="32">
        <f t="shared" si="0"/>
        <v>3.3439295757427656E-2</v>
      </c>
      <c r="O4" s="32">
        <f t="shared" si="0"/>
        <v>3.342206447796503E-2</v>
      </c>
      <c r="P4" s="32">
        <f t="shared" si="0"/>
        <v>3.348597595878644E-2</v>
      </c>
      <c r="Q4" s="32">
        <f t="shared" si="0"/>
        <v>3.3508723345333724E-2</v>
      </c>
      <c r="R4" s="32">
        <f t="shared" si="0"/>
        <v>3.3494105037513489E-2</v>
      </c>
      <c r="S4" s="32">
        <f t="shared" si="0"/>
        <v>3.3549390718174754E-2</v>
      </c>
      <c r="T4" s="32">
        <f t="shared" si="0"/>
        <v>3.3564118001204069E-2</v>
      </c>
      <c r="U4" s="32">
        <f t="shared" si="0"/>
        <v>3.3687685063831907E-2</v>
      </c>
      <c r="V4" s="32">
        <f>U4</f>
        <v>3.3687685063831907E-2</v>
      </c>
      <c r="W4" s="32">
        <f t="shared" ref="W4:Z4" si="1">V4</f>
        <v>3.3687685063831907E-2</v>
      </c>
      <c r="X4" s="32">
        <f t="shared" si="1"/>
        <v>3.3687685063831907E-2</v>
      </c>
      <c r="Y4" s="32">
        <f t="shared" si="1"/>
        <v>3.3687685063831907E-2</v>
      </c>
      <c r="Z4" s="32">
        <f t="shared" si="1"/>
        <v>3.3687685063831907E-2</v>
      </c>
      <c r="AA4" s="4">
        <f>AB4</f>
        <v>0.04</v>
      </c>
      <c r="AB4" s="18">
        <f>SUMIF(PoolPlan_EnergyProj!$Q$1:$AB$1,B2,PoolPlan_EnergyProj!$Q$29:$AB$29)</f>
        <v>0.04</v>
      </c>
      <c r="AC4" s="18">
        <f>SUMIF(PoolPlan_EnergyProj!$Q$1:$AB$1,B2,PoolPlan_EnergyProj!$Q$30:$AB$30)</f>
        <v>3.9999999999999994E-2</v>
      </c>
      <c r="AD4" s="86">
        <v>0</v>
      </c>
    </row>
    <row r="5" spans="1:30" ht="15" x14ac:dyDescent="0.25">
      <c r="A5" s="1" t="s">
        <v>115</v>
      </c>
      <c r="B5" s="5" t="s">
        <v>1</v>
      </c>
      <c r="C5" s="23">
        <f>C42*(1-C7)*(1-C10)</f>
        <v>10574.85</v>
      </c>
      <c r="D5" s="7">
        <f t="shared" ref="D5:AA5" si="2">C5*(1+D4)</f>
        <v>10767.800000000001</v>
      </c>
      <c r="E5" s="7">
        <f t="shared" si="2"/>
        <v>10985.400000000001</v>
      </c>
      <c r="F5" s="7">
        <f t="shared" si="2"/>
        <v>11237.850000000002</v>
      </c>
      <c r="G5" s="7">
        <f t="shared" si="2"/>
        <v>11553.200000000003</v>
      </c>
      <c r="H5" s="7">
        <f t="shared" si="2"/>
        <v>11891.500000000002</v>
      </c>
      <c r="I5" s="7">
        <f t="shared" si="2"/>
        <v>12240.000000000002</v>
      </c>
      <c r="J5" s="7">
        <f t="shared" si="2"/>
        <v>12603.800000000001</v>
      </c>
      <c r="K5" s="7">
        <f t="shared" si="2"/>
        <v>13019.449999999999</v>
      </c>
      <c r="L5" s="7">
        <f t="shared" si="2"/>
        <v>13454.649999999998</v>
      </c>
      <c r="M5" s="7">
        <f t="shared" si="2"/>
        <v>13904.3</v>
      </c>
      <c r="N5" s="7">
        <f t="shared" si="2"/>
        <v>14369.25</v>
      </c>
      <c r="O5" s="7">
        <f t="shared" si="2"/>
        <v>14849.499999999998</v>
      </c>
      <c r="P5" s="7">
        <f t="shared" si="2"/>
        <v>15346.749999999998</v>
      </c>
      <c r="Q5" s="7">
        <f t="shared" si="2"/>
        <v>15860.999999999998</v>
      </c>
      <c r="R5" s="7">
        <f t="shared" si="2"/>
        <v>16392.25</v>
      </c>
      <c r="S5" s="7">
        <f t="shared" si="2"/>
        <v>16942.2</v>
      </c>
      <c r="T5" s="7">
        <f t="shared" si="2"/>
        <v>17510.849999999999</v>
      </c>
      <c r="U5" s="7">
        <f t="shared" si="2"/>
        <v>18100.75</v>
      </c>
      <c r="V5" s="7">
        <f t="shared" si="2"/>
        <v>18710.522365419154</v>
      </c>
      <c r="W5" s="7">
        <f t="shared" si="2"/>
        <v>19340.836550245178</v>
      </c>
      <c r="X5" s="7">
        <f t="shared" si="2"/>
        <v>19992.384560820887</v>
      </c>
      <c r="Y5" s="7">
        <f t="shared" si="2"/>
        <v>20665.881715580836</v>
      </c>
      <c r="Z5" s="7">
        <f t="shared" si="2"/>
        <v>21362.067430381725</v>
      </c>
      <c r="AA5" s="7">
        <f t="shared" si="2"/>
        <v>22216.550127596995</v>
      </c>
      <c r="AB5" s="7">
        <f>AA5*(1+AB4)^9</f>
        <v>31621.078227862858</v>
      </c>
      <c r="AC5" s="7">
        <f>AB5*(1+AC4)^10</f>
        <v>46806.92032974989</v>
      </c>
      <c r="AD5" s="7">
        <f>AC5*(1+AD4)^10</f>
        <v>46806.92032974989</v>
      </c>
    </row>
    <row r="6" spans="1:30" ht="15" x14ac:dyDescent="0.25">
      <c r="A6" s="3" t="s">
        <v>2</v>
      </c>
      <c r="B6" s="5"/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30" ht="15" x14ac:dyDescent="0.25">
      <c r="A7" s="1" t="s">
        <v>3</v>
      </c>
      <c r="C7" s="71">
        <v>0</v>
      </c>
      <c r="D7" s="33">
        <f t="shared" ref="D7:Y7" si="3">C7</f>
        <v>0</v>
      </c>
      <c r="E7" s="33">
        <f t="shared" si="3"/>
        <v>0</v>
      </c>
      <c r="F7" s="33">
        <f t="shared" si="3"/>
        <v>0</v>
      </c>
      <c r="G7" s="33">
        <f t="shared" si="3"/>
        <v>0</v>
      </c>
      <c r="H7" s="33">
        <f t="shared" si="3"/>
        <v>0</v>
      </c>
      <c r="I7" s="33">
        <f t="shared" si="3"/>
        <v>0</v>
      </c>
      <c r="J7" s="33">
        <f t="shared" si="3"/>
        <v>0</v>
      </c>
      <c r="K7" s="33">
        <f t="shared" si="3"/>
        <v>0</v>
      </c>
      <c r="L7" s="33">
        <f t="shared" si="3"/>
        <v>0</v>
      </c>
      <c r="M7" s="33">
        <f t="shared" si="3"/>
        <v>0</v>
      </c>
      <c r="N7" s="33">
        <f t="shared" si="3"/>
        <v>0</v>
      </c>
      <c r="O7" s="33">
        <f t="shared" si="3"/>
        <v>0</v>
      </c>
      <c r="P7" s="33">
        <f t="shared" si="3"/>
        <v>0</v>
      </c>
      <c r="Q7" s="33">
        <f t="shared" si="3"/>
        <v>0</v>
      </c>
      <c r="R7" s="33">
        <f t="shared" si="3"/>
        <v>0</v>
      </c>
      <c r="S7" s="33">
        <f t="shared" si="3"/>
        <v>0</v>
      </c>
      <c r="T7" s="33">
        <f t="shared" si="3"/>
        <v>0</v>
      </c>
      <c r="U7" s="33">
        <f t="shared" si="3"/>
        <v>0</v>
      </c>
      <c r="V7" s="33">
        <f t="shared" si="3"/>
        <v>0</v>
      </c>
      <c r="W7" s="33">
        <f t="shared" si="3"/>
        <v>0</v>
      </c>
      <c r="X7" s="33">
        <f t="shared" si="3"/>
        <v>0</v>
      </c>
      <c r="Y7" s="33">
        <f t="shared" si="3"/>
        <v>0</v>
      </c>
      <c r="Z7" s="33">
        <f>Y7</f>
        <v>0</v>
      </c>
      <c r="AA7" s="33">
        <f t="shared" ref="AA7:AC7" si="4">Z7</f>
        <v>0</v>
      </c>
      <c r="AB7" s="33">
        <f t="shared" si="4"/>
        <v>0</v>
      </c>
      <c r="AC7" s="33">
        <f t="shared" si="4"/>
        <v>0</v>
      </c>
    </row>
    <row r="8" spans="1:30" ht="15" x14ac:dyDescent="0.25">
      <c r="A8" s="1" t="s">
        <v>96</v>
      </c>
      <c r="B8" s="5" t="s">
        <v>1</v>
      </c>
      <c r="C8" s="8">
        <f t="shared" ref="C8:AC8" si="5">C5/(1-C7)</f>
        <v>10574.85</v>
      </c>
      <c r="D8" s="8">
        <f t="shared" si="5"/>
        <v>10767.800000000001</v>
      </c>
      <c r="E8" s="8">
        <f t="shared" si="5"/>
        <v>10985.400000000001</v>
      </c>
      <c r="F8" s="8">
        <f t="shared" si="5"/>
        <v>11237.850000000002</v>
      </c>
      <c r="G8" s="8">
        <f t="shared" si="5"/>
        <v>11553.200000000003</v>
      </c>
      <c r="H8" s="8">
        <f t="shared" si="5"/>
        <v>11891.500000000002</v>
      </c>
      <c r="I8" s="8">
        <f t="shared" si="5"/>
        <v>12240.000000000002</v>
      </c>
      <c r="J8" s="8">
        <f t="shared" si="5"/>
        <v>12603.800000000001</v>
      </c>
      <c r="K8" s="8">
        <f t="shared" si="5"/>
        <v>13019.449999999999</v>
      </c>
      <c r="L8" s="8">
        <f t="shared" si="5"/>
        <v>13454.649999999998</v>
      </c>
      <c r="M8" s="8">
        <f t="shared" si="5"/>
        <v>13904.3</v>
      </c>
      <c r="N8" s="8">
        <f t="shared" si="5"/>
        <v>14369.25</v>
      </c>
      <c r="O8" s="8">
        <f t="shared" si="5"/>
        <v>14849.499999999998</v>
      </c>
      <c r="P8" s="8">
        <f t="shared" si="5"/>
        <v>15346.749999999998</v>
      </c>
      <c r="Q8" s="8">
        <f t="shared" si="5"/>
        <v>15860.999999999998</v>
      </c>
      <c r="R8" s="8">
        <f t="shared" si="5"/>
        <v>16392.25</v>
      </c>
      <c r="S8" s="8">
        <f t="shared" si="5"/>
        <v>16942.2</v>
      </c>
      <c r="T8" s="8">
        <f t="shared" si="5"/>
        <v>17510.849999999999</v>
      </c>
      <c r="U8" s="8">
        <f t="shared" si="5"/>
        <v>18100.75</v>
      </c>
      <c r="V8" s="8">
        <f t="shared" si="5"/>
        <v>18710.522365419154</v>
      </c>
      <c r="W8" s="8">
        <f t="shared" si="5"/>
        <v>19340.836550245178</v>
      </c>
      <c r="X8" s="8">
        <f t="shared" si="5"/>
        <v>19992.384560820887</v>
      </c>
      <c r="Y8" s="8">
        <f t="shared" si="5"/>
        <v>20665.881715580836</v>
      </c>
      <c r="Z8" s="8">
        <f t="shared" si="5"/>
        <v>21362.067430381725</v>
      </c>
      <c r="AA8" s="8">
        <f t="shared" si="5"/>
        <v>22216.550127596995</v>
      </c>
      <c r="AB8" s="8">
        <f t="shared" si="5"/>
        <v>31621.078227862858</v>
      </c>
      <c r="AC8" s="8">
        <f t="shared" si="5"/>
        <v>46806.92032974989</v>
      </c>
    </row>
    <row r="9" spans="1:30" ht="15" x14ac:dyDescent="0.25">
      <c r="A9" s="3" t="s">
        <v>4</v>
      </c>
      <c r="B9" s="5"/>
      <c r="C9" s="11"/>
      <c r="D9" s="11"/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30" ht="15" x14ac:dyDescent="0.25">
      <c r="A10" s="1" t="s">
        <v>5</v>
      </c>
      <c r="C10" s="26">
        <v>0.15</v>
      </c>
      <c r="D10" s="32">
        <f>C10</f>
        <v>0.15</v>
      </c>
      <c r="E10" s="32">
        <f t="shared" ref="E10:AC10" si="6">D10</f>
        <v>0.15</v>
      </c>
      <c r="F10" s="32">
        <f t="shared" si="6"/>
        <v>0.15</v>
      </c>
      <c r="G10" s="32">
        <f t="shared" si="6"/>
        <v>0.15</v>
      </c>
      <c r="H10" s="32">
        <f t="shared" si="6"/>
        <v>0.15</v>
      </c>
      <c r="I10" s="32">
        <f t="shared" si="6"/>
        <v>0.15</v>
      </c>
      <c r="J10" s="32">
        <f t="shared" si="6"/>
        <v>0.15</v>
      </c>
      <c r="K10" s="32">
        <f t="shared" si="6"/>
        <v>0.15</v>
      </c>
      <c r="L10" s="32">
        <f t="shared" si="6"/>
        <v>0.15</v>
      </c>
      <c r="M10" s="32">
        <f t="shared" si="6"/>
        <v>0.15</v>
      </c>
      <c r="N10" s="32">
        <f t="shared" si="6"/>
        <v>0.15</v>
      </c>
      <c r="O10" s="32">
        <f t="shared" si="6"/>
        <v>0.15</v>
      </c>
      <c r="P10" s="32">
        <f t="shared" si="6"/>
        <v>0.15</v>
      </c>
      <c r="Q10" s="32">
        <f t="shared" si="6"/>
        <v>0.15</v>
      </c>
      <c r="R10" s="32">
        <f t="shared" si="6"/>
        <v>0.15</v>
      </c>
      <c r="S10" s="32">
        <f t="shared" si="6"/>
        <v>0.15</v>
      </c>
      <c r="T10" s="32">
        <f t="shared" si="6"/>
        <v>0.15</v>
      </c>
      <c r="U10" s="32">
        <f t="shared" si="6"/>
        <v>0.15</v>
      </c>
      <c r="V10" s="32">
        <f t="shared" si="6"/>
        <v>0.15</v>
      </c>
      <c r="W10" s="32">
        <f t="shared" si="6"/>
        <v>0.15</v>
      </c>
      <c r="X10" s="32">
        <f t="shared" si="6"/>
        <v>0.15</v>
      </c>
      <c r="Y10" s="32">
        <f t="shared" si="6"/>
        <v>0.15</v>
      </c>
      <c r="Z10" s="32">
        <f t="shared" si="6"/>
        <v>0.15</v>
      </c>
      <c r="AA10" s="32">
        <f t="shared" si="6"/>
        <v>0.15</v>
      </c>
      <c r="AB10" s="32">
        <f t="shared" si="6"/>
        <v>0.15</v>
      </c>
      <c r="AC10" s="32">
        <f t="shared" si="6"/>
        <v>0.15</v>
      </c>
    </row>
    <row r="11" spans="1:30" ht="15" x14ac:dyDescent="0.25">
      <c r="A11" s="1" t="s">
        <v>95</v>
      </c>
      <c r="B11" s="5" t="s">
        <v>1</v>
      </c>
      <c r="C11" s="8">
        <f t="shared" ref="C11:AC11" si="7">C8/(1-C10)</f>
        <v>12441</v>
      </c>
      <c r="D11" s="8">
        <f t="shared" si="7"/>
        <v>12668.000000000002</v>
      </c>
      <c r="E11" s="8">
        <f t="shared" si="7"/>
        <v>12924.000000000002</v>
      </c>
      <c r="F11" s="8">
        <f t="shared" si="7"/>
        <v>13221.000000000004</v>
      </c>
      <c r="G11" s="8">
        <f t="shared" si="7"/>
        <v>13592.000000000004</v>
      </c>
      <c r="H11" s="8">
        <f t="shared" si="7"/>
        <v>13990.000000000002</v>
      </c>
      <c r="I11" s="8">
        <f t="shared" si="7"/>
        <v>14400.000000000002</v>
      </c>
      <c r="J11" s="8">
        <f t="shared" si="7"/>
        <v>14828.000000000002</v>
      </c>
      <c r="K11" s="8">
        <f t="shared" si="7"/>
        <v>15317</v>
      </c>
      <c r="L11" s="8">
        <f t="shared" si="7"/>
        <v>15828.999999999998</v>
      </c>
      <c r="M11" s="8">
        <f t="shared" si="7"/>
        <v>16358</v>
      </c>
      <c r="N11" s="8">
        <f t="shared" si="7"/>
        <v>16905</v>
      </c>
      <c r="O11" s="8">
        <f t="shared" si="7"/>
        <v>17470</v>
      </c>
      <c r="P11" s="8">
        <f t="shared" si="7"/>
        <v>18055</v>
      </c>
      <c r="Q11" s="8">
        <f t="shared" si="7"/>
        <v>18660</v>
      </c>
      <c r="R11" s="8">
        <f t="shared" si="7"/>
        <v>19285</v>
      </c>
      <c r="S11" s="8">
        <f t="shared" si="7"/>
        <v>19932</v>
      </c>
      <c r="T11" s="8">
        <f t="shared" si="7"/>
        <v>20601</v>
      </c>
      <c r="U11" s="8">
        <f t="shared" si="7"/>
        <v>21295</v>
      </c>
      <c r="V11" s="8">
        <f t="shared" si="7"/>
        <v>22012.379253434301</v>
      </c>
      <c r="W11" s="8">
        <f t="shared" si="7"/>
        <v>22753.925353229621</v>
      </c>
      <c r="X11" s="8">
        <f t="shared" si="7"/>
        <v>23520.452424495161</v>
      </c>
      <c r="Y11" s="8">
        <f t="shared" si="7"/>
        <v>24312.802018330396</v>
      </c>
      <c r="Z11" s="8">
        <f t="shared" si="7"/>
        <v>25131.844035743208</v>
      </c>
      <c r="AA11" s="8">
        <f t="shared" si="7"/>
        <v>26137.117797172934</v>
      </c>
      <c r="AB11" s="8">
        <f t="shared" si="7"/>
        <v>37201.268503368068</v>
      </c>
      <c r="AC11" s="8">
        <f t="shared" si="7"/>
        <v>55066.965093823404</v>
      </c>
    </row>
    <row r="12" spans="1:30" x14ac:dyDescent="0.2">
      <c r="A12" s="3" t="s">
        <v>6</v>
      </c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30" ht="15" x14ac:dyDescent="0.25">
      <c r="A13" s="5" t="s">
        <v>108</v>
      </c>
      <c r="B13" s="5" t="s">
        <v>98</v>
      </c>
      <c r="C13" s="6">
        <f>VLOOKUP($A$2,AR2008_Stats!$B$4:$O$15,AR2008_Stats!L$1,FALSE)</f>
        <v>30</v>
      </c>
      <c r="D13" s="64">
        <f>C13</f>
        <v>30</v>
      </c>
      <c r="E13" s="64">
        <f t="shared" ref="E13:T15" si="8">D13</f>
        <v>30</v>
      </c>
      <c r="F13" s="64">
        <f t="shared" si="8"/>
        <v>30</v>
      </c>
      <c r="G13" s="64">
        <f t="shared" si="8"/>
        <v>30</v>
      </c>
      <c r="H13" s="64">
        <f t="shared" si="8"/>
        <v>30</v>
      </c>
      <c r="I13" s="64">
        <f t="shared" si="8"/>
        <v>30</v>
      </c>
      <c r="J13" s="64">
        <f t="shared" si="8"/>
        <v>30</v>
      </c>
      <c r="K13" s="64">
        <f t="shared" si="8"/>
        <v>30</v>
      </c>
      <c r="L13" s="64">
        <f t="shared" si="8"/>
        <v>30</v>
      </c>
      <c r="M13" s="64">
        <f t="shared" si="8"/>
        <v>30</v>
      </c>
      <c r="N13" s="64">
        <f t="shared" si="8"/>
        <v>30</v>
      </c>
      <c r="O13" s="64">
        <f t="shared" si="8"/>
        <v>30</v>
      </c>
      <c r="P13" s="64">
        <f t="shared" si="8"/>
        <v>30</v>
      </c>
      <c r="Q13" s="64">
        <f t="shared" si="8"/>
        <v>30</v>
      </c>
      <c r="R13" s="64">
        <f t="shared" si="8"/>
        <v>30</v>
      </c>
      <c r="S13" s="64">
        <f t="shared" si="8"/>
        <v>30</v>
      </c>
      <c r="T13" s="64">
        <f t="shared" si="8"/>
        <v>30</v>
      </c>
      <c r="U13" s="64">
        <f t="shared" ref="U13:AA15" si="9">T13</f>
        <v>30</v>
      </c>
      <c r="V13" s="64">
        <f t="shared" si="9"/>
        <v>30</v>
      </c>
      <c r="W13" s="64">
        <f t="shared" si="9"/>
        <v>30</v>
      </c>
      <c r="X13" s="64">
        <f t="shared" si="9"/>
        <v>30</v>
      </c>
      <c r="Y13" s="64">
        <f t="shared" si="9"/>
        <v>30</v>
      </c>
      <c r="Z13" s="64">
        <f t="shared" si="9"/>
        <v>30</v>
      </c>
      <c r="AA13" s="64">
        <f t="shared" si="9"/>
        <v>30</v>
      </c>
    </row>
    <row r="14" spans="1:30" ht="15" x14ac:dyDescent="0.25">
      <c r="A14" s="5" t="s">
        <v>109</v>
      </c>
      <c r="B14" s="5"/>
      <c r="C14" s="6">
        <v>0</v>
      </c>
      <c r="D14" s="64">
        <f>C14</f>
        <v>0</v>
      </c>
      <c r="E14" s="64">
        <f t="shared" si="8"/>
        <v>0</v>
      </c>
      <c r="F14" s="64">
        <f t="shared" si="8"/>
        <v>0</v>
      </c>
      <c r="G14" s="64">
        <f t="shared" si="8"/>
        <v>0</v>
      </c>
      <c r="H14" s="64">
        <f t="shared" si="8"/>
        <v>0</v>
      </c>
      <c r="I14" s="64">
        <f t="shared" si="8"/>
        <v>0</v>
      </c>
      <c r="J14" s="64">
        <f t="shared" si="8"/>
        <v>0</v>
      </c>
      <c r="K14" s="64">
        <f t="shared" si="8"/>
        <v>0</v>
      </c>
      <c r="L14" s="64">
        <f t="shared" si="8"/>
        <v>0</v>
      </c>
      <c r="M14" s="64">
        <f t="shared" si="8"/>
        <v>0</v>
      </c>
      <c r="N14" s="64">
        <f t="shared" si="8"/>
        <v>0</v>
      </c>
      <c r="O14" s="64">
        <f t="shared" si="8"/>
        <v>0</v>
      </c>
      <c r="P14" s="64">
        <f t="shared" si="8"/>
        <v>0</v>
      </c>
      <c r="Q14" s="64">
        <f t="shared" si="8"/>
        <v>0</v>
      </c>
      <c r="R14" s="64">
        <f t="shared" si="8"/>
        <v>0</v>
      </c>
      <c r="S14" s="64">
        <f t="shared" si="8"/>
        <v>0</v>
      </c>
      <c r="T14" s="64">
        <f t="shared" si="8"/>
        <v>0</v>
      </c>
      <c r="U14" s="64">
        <f t="shared" si="9"/>
        <v>0</v>
      </c>
      <c r="V14" s="64">
        <f t="shared" si="9"/>
        <v>0</v>
      </c>
      <c r="W14" s="64">
        <f t="shared" si="9"/>
        <v>0</v>
      </c>
      <c r="X14" s="64">
        <f t="shared" si="9"/>
        <v>0</v>
      </c>
      <c r="Y14" s="64">
        <f t="shared" si="9"/>
        <v>0</v>
      </c>
      <c r="Z14" s="64">
        <f t="shared" si="9"/>
        <v>0</v>
      </c>
      <c r="AA14" s="64">
        <f t="shared" si="9"/>
        <v>0</v>
      </c>
    </row>
    <row r="15" spans="1:30" ht="15" x14ac:dyDescent="0.25">
      <c r="A15" s="5" t="s">
        <v>110</v>
      </c>
      <c r="B15" s="5"/>
      <c r="C15" s="6">
        <v>0</v>
      </c>
      <c r="D15" s="64">
        <f>C15</f>
        <v>0</v>
      </c>
      <c r="E15" s="64">
        <f t="shared" si="8"/>
        <v>0</v>
      </c>
      <c r="F15" s="64">
        <f t="shared" si="8"/>
        <v>0</v>
      </c>
      <c r="G15" s="64">
        <f t="shared" si="8"/>
        <v>0</v>
      </c>
      <c r="H15" s="64">
        <f t="shared" si="8"/>
        <v>0</v>
      </c>
      <c r="I15" s="64">
        <f t="shared" si="8"/>
        <v>0</v>
      </c>
      <c r="J15" s="64">
        <f t="shared" si="8"/>
        <v>0</v>
      </c>
      <c r="K15" s="64">
        <f t="shared" si="8"/>
        <v>0</v>
      </c>
      <c r="L15" s="64">
        <f t="shared" si="8"/>
        <v>0</v>
      </c>
      <c r="M15" s="64">
        <f t="shared" si="8"/>
        <v>0</v>
      </c>
      <c r="N15" s="64">
        <f t="shared" si="8"/>
        <v>0</v>
      </c>
      <c r="O15" s="64">
        <f t="shared" si="8"/>
        <v>0</v>
      </c>
      <c r="P15" s="64">
        <f t="shared" si="8"/>
        <v>0</v>
      </c>
      <c r="Q15" s="64">
        <f t="shared" si="8"/>
        <v>0</v>
      </c>
      <c r="R15" s="64">
        <f t="shared" si="8"/>
        <v>0</v>
      </c>
      <c r="S15" s="64">
        <f t="shared" si="8"/>
        <v>0</v>
      </c>
      <c r="T15" s="64">
        <f t="shared" si="8"/>
        <v>0</v>
      </c>
      <c r="U15" s="64">
        <f t="shared" si="9"/>
        <v>0</v>
      </c>
      <c r="V15" s="64">
        <f t="shared" si="9"/>
        <v>0</v>
      </c>
      <c r="W15" s="64">
        <f t="shared" si="9"/>
        <v>0</v>
      </c>
      <c r="X15" s="64">
        <f t="shared" si="9"/>
        <v>0</v>
      </c>
      <c r="Y15" s="64">
        <f t="shared" si="9"/>
        <v>0</v>
      </c>
      <c r="Z15" s="64">
        <f t="shared" si="9"/>
        <v>0</v>
      </c>
      <c r="AA15" s="64">
        <f t="shared" si="9"/>
        <v>0</v>
      </c>
    </row>
    <row r="16" spans="1:30" ht="15" x14ac:dyDescent="0.25">
      <c r="A16" s="5" t="s">
        <v>112</v>
      </c>
      <c r="B16" s="5"/>
      <c r="C16" s="6">
        <v>0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</row>
    <row r="17" spans="1:27" ht="15" x14ac:dyDescent="0.25">
      <c r="A17" s="5" t="s">
        <v>113</v>
      </c>
      <c r="B17" s="5"/>
      <c r="C17" s="6">
        <v>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</row>
    <row r="18" spans="1:27" ht="15" x14ac:dyDescent="0.25">
      <c r="A18" s="1" t="s">
        <v>111</v>
      </c>
      <c r="B18" s="5"/>
      <c r="C18" s="65">
        <f>SUM(C13:C17)</f>
        <v>30</v>
      </c>
      <c r="D18" s="65">
        <f t="shared" ref="D18:AA18" si="10">SUM(D13:D17)</f>
        <v>30</v>
      </c>
      <c r="E18" s="65">
        <f t="shared" si="10"/>
        <v>30</v>
      </c>
      <c r="F18" s="65">
        <f t="shared" si="10"/>
        <v>30</v>
      </c>
      <c r="G18" s="65">
        <f t="shared" si="10"/>
        <v>30</v>
      </c>
      <c r="H18" s="65">
        <f t="shared" si="10"/>
        <v>30</v>
      </c>
      <c r="I18" s="65">
        <f t="shared" si="10"/>
        <v>30</v>
      </c>
      <c r="J18" s="65">
        <f t="shared" si="10"/>
        <v>30</v>
      </c>
      <c r="K18" s="65">
        <f t="shared" si="10"/>
        <v>30</v>
      </c>
      <c r="L18" s="65">
        <f t="shared" si="10"/>
        <v>30</v>
      </c>
      <c r="M18" s="65">
        <f t="shared" si="10"/>
        <v>30</v>
      </c>
      <c r="N18" s="65">
        <f t="shared" si="10"/>
        <v>30</v>
      </c>
      <c r="O18" s="65">
        <f t="shared" si="10"/>
        <v>30</v>
      </c>
      <c r="P18" s="65">
        <f t="shared" si="10"/>
        <v>30</v>
      </c>
      <c r="Q18" s="65">
        <f t="shared" si="10"/>
        <v>30</v>
      </c>
      <c r="R18" s="65">
        <f t="shared" si="10"/>
        <v>30</v>
      </c>
      <c r="S18" s="65">
        <f t="shared" si="10"/>
        <v>30</v>
      </c>
      <c r="T18" s="65">
        <f t="shared" si="10"/>
        <v>30</v>
      </c>
      <c r="U18" s="65">
        <f t="shared" si="10"/>
        <v>30</v>
      </c>
      <c r="V18" s="65">
        <f t="shared" si="10"/>
        <v>30</v>
      </c>
      <c r="W18" s="65">
        <f t="shared" si="10"/>
        <v>30</v>
      </c>
      <c r="X18" s="65">
        <f t="shared" si="10"/>
        <v>30</v>
      </c>
      <c r="Y18" s="65">
        <f t="shared" si="10"/>
        <v>30</v>
      </c>
      <c r="Z18" s="65">
        <f t="shared" si="10"/>
        <v>30</v>
      </c>
      <c r="AA18" s="65">
        <f t="shared" si="10"/>
        <v>30</v>
      </c>
    </row>
    <row r="19" spans="1:27" ht="15" x14ac:dyDescent="0.25">
      <c r="A19" s="66" t="s">
        <v>116</v>
      </c>
      <c r="B19" s="66" t="s">
        <v>1</v>
      </c>
      <c r="C19" s="67">
        <f t="shared" ref="C19:AA19" si="11">C18+C11</f>
        <v>12471</v>
      </c>
      <c r="D19" s="67">
        <f t="shared" si="11"/>
        <v>12698.000000000002</v>
      </c>
      <c r="E19" s="67">
        <f t="shared" si="11"/>
        <v>12954.000000000002</v>
      </c>
      <c r="F19" s="67">
        <f t="shared" si="11"/>
        <v>13251.000000000004</v>
      </c>
      <c r="G19" s="67">
        <f t="shared" si="11"/>
        <v>13622.000000000004</v>
      </c>
      <c r="H19" s="67">
        <f t="shared" si="11"/>
        <v>14020.000000000002</v>
      </c>
      <c r="I19" s="67">
        <f t="shared" si="11"/>
        <v>14430.000000000002</v>
      </c>
      <c r="J19" s="67">
        <f t="shared" si="11"/>
        <v>14858.000000000002</v>
      </c>
      <c r="K19" s="67">
        <f t="shared" si="11"/>
        <v>15347</v>
      </c>
      <c r="L19" s="67">
        <f t="shared" si="11"/>
        <v>15858.999999999998</v>
      </c>
      <c r="M19" s="67">
        <f t="shared" si="11"/>
        <v>16388</v>
      </c>
      <c r="N19" s="67">
        <f t="shared" si="11"/>
        <v>16935</v>
      </c>
      <c r="O19" s="67">
        <f t="shared" si="11"/>
        <v>17500</v>
      </c>
      <c r="P19" s="67">
        <f t="shared" si="11"/>
        <v>18085</v>
      </c>
      <c r="Q19" s="67">
        <f t="shared" si="11"/>
        <v>18690</v>
      </c>
      <c r="R19" s="67">
        <f t="shared" si="11"/>
        <v>19315</v>
      </c>
      <c r="S19" s="67">
        <f t="shared" si="11"/>
        <v>19962</v>
      </c>
      <c r="T19" s="67">
        <f t="shared" si="11"/>
        <v>20631</v>
      </c>
      <c r="U19" s="67">
        <f t="shared" si="11"/>
        <v>21325</v>
      </c>
      <c r="V19" s="67">
        <f t="shared" si="11"/>
        <v>22042.379253434301</v>
      </c>
      <c r="W19" s="67">
        <f t="shared" si="11"/>
        <v>22783.925353229621</v>
      </c>
      <c r="X19" s="67">
        <f t="shared" si="11"/>
        <v>23550.452424495161</v>
      </c>
      <c r="Y19" s="67">
        <f t="shared" si="11"/>
        <v>24342.802018330396</v>
      </c>
      <c r="Z19" s="67">
        <f t="shared" si="11"/>
        <v>25161.844035743208</v>
      </c>
      <c r="AA19" s="67">
        <f t="shared" si="11"/>
        <v>26167.117797172934</v>
      </c>
    </row>
    <row r="20" spans="1:27" ht="15" x14ac:dyDescent="0.25">
      <c r="A20" s="3" t="s">
        <v>120</v>
      </c>
      <c r="B20" s="5" t="s">
        <v>1</v>
      </c>
      <c r="C20" s="6">
        <f>VLOOKUP($A$2,AR2008_Stats!$B$4:$O$15,AR2008_Stats!K$1,FALSE)</f>
        <v>2367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 x14ac:dyDescent="0.25">
      <c r="A21" s="3" t="s">
        <v>121</v>
      </c>
      <c r="B21" s="5" t="s">
        <v>1</v>
      </c>
      <c r="C21" s="6">
        <f>VLOOKUP($A$2,AR2008_Stats!$B$4:$O$15,AR2008_Stats!J$1,FALSE)</f>
        <v>7781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7" ht="15" x14ac:dyDescent="0.25">
      <c r="A22" s="66" t="s">
        <v>119</v>
      </c>
      <c r="B22" s="66" t="s">
        <v>1</v>
      </c>
      <c r="C22" s="67">
        <f>C21+C20</f>
        <v>10148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7" x14ac:dyDescent="0.2">
      <c r="A23" s="3" t="s">
        <v>88</v>
      </c>
    </row>
    <row r="24" spans="1:27" ht="15" x14ac:dyDescent="0.25">
      <c r="A24" s="1" t="s">
        <v>76</v>
      </c>
      <c r="B24" s="5" t="s">
        <v>1</v>
      </c>
      <c r="C24" s="74">
        <f>VLOOKUP($A$2,'[1]Total Existing Capacity'!$A$3:$J$14,9,FALSE)</f>
        <v>12903.89063872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7" x14ac:dyDescent="0.2">
      <c r="A25" s="1" t="s">
        <v>89</v>
      </c>
      <c r="B25" s="5"/>
      <c r="C25" s="30">
        <f>(C20+C24)/C11-1</f>
        <v>0.22746488535648268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7" x14ac:dyDescent="0.2">
      <c r="A26" s="1" t="s">
        <v>90</v>
      </c>
      <c r="B26" s="5"/>
      <c r="C26" s="30">
        <f>(C20+C24-C13)/C11-1</f>
        <v>0.22505350363475607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7" x14ac:dyDescent="0.2">
      <c r="A27" s="1" t="s">
        <v>91</v>
      </c>
      <c r="B27" s="5"/>
      <c r="C27" s="30">
        <f>C24/C11-1</f>
        <v>3.720686751225788E-2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7" x14ac:dyDescent="0.2">
      <c r="A28" s="1" t="s">
        <v>92</v>
      </c>
      <c r="B28" s="5"/>
      <c r="C28" s="30">
        <f>(C24-C13)/C11-1</f>
        <v>3.4795485790531266E-2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7" ht="15" x14ac:dyDescent="0.25">
      <c r="A29" s="1" t="s">
        <v>77</v>
      </c>
      <c r="B29" s="5" t="s">
        <v>1</v>
      </c>
      <c r="C29" s="74">
        <f>VLOOKUP($A$2,'[1]Total Existing Capacity'!$A$3:$J$14,10,FALSE)</f>
        <v>12040.89063872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7" x14ac:dyDescent="0.2">
      <c r="A30" s="1" t="s">
        <v>93</v>
      </c>
      <c r="B30" s="5"/>
      <c r="C30" s="30">
        <f>C29/C11-1</f>
        <v>-3.2160546682742486E-2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7" x14ac:dyDescent="0.2">
      <c r="A31" s="1" t="s">
        <v>94</v>
      </c>
      <c r="B31" s="5"/>
      <c r="C31" s="30">
        <f>(C29-C13)/C11-1</f>
        <v>-3.4571928404469099E-2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7" ht="15" x14ac:dyDescent="0.25">
      <c r="A32" s="1" t="s">
        <v>74</v>
      </c>
      <c r="B32" s="2" t="s">
        <v>10</v>
      </c>
      <c r="C32" s="27">
        <f>IF(B3="AR 2008",VLOOKUP($A$2,AR2008_Stats!$B$4:$O$15,AR2008_Stats!F$1,FALSE),C47)</f>
        <v>2143</v>
      </c>
      <c r="D32" s="28">
        <f>D19/(D33*8.76)</f>
        <v>2191.1768234922647</v>
      </c>
      <c r="E32" s="28">
        <f t="shared" ref="E32:Z32" si="12">E19/(E33*8.76)</f>
        <v>2235.1764159702884</v>
      </c>
      <c r="F32" s="28">
        <f t="shared" si="12"/>
        <v>2286.1758565917867</v>
      </c>
      <c r="G32" s="28">
        <f t="shared" si="12"/>
        <v>2350.1758387286645</v>
      </c>
      <c r="H32" s="28">
        <f t="shared" si="12"/>
        <v>2419.1765546819161</v>
      </c>
      <c r="I32" s="28">
        <f t="shared" si="12"/>
        <v>2489.1750000000002</v>
      </c>
      <c r="J32" s="28">
        <f t="shared" si="12"/>
        <v>2563.1753439438903</v>
      </c>
      <c r="K32" s="28">
        <f t="shared" si="12"/>
        <v>2648.1766011621075</v>
      </c>
      <c r="L32" s="28">
        <f t="shared" si="12"/>
        <v>2736.1759428896326</v>
      </c>
      <c r="M32" s="28">
        <f t="shared" si="12"/>
        <v>2827.1754493214335</v>
      </c>
      <c r="N32" s="28">
        <f t="shared" si="12"/>
        <v>2922.1765749778169</v>
      </c>
      <c r="O32" s="28">
        <f t="shared" si="12"/>
        <v>3019.175729822553</v>
      </c>
      <c r="P32" s="28">
        <f t="shared" si="12"/>
        <v>3120.1758515646629</v>
      </c>
      <c r="Q32" s="28">
        <f t="shared" si="12"/>
        <v>3225.1768488745984</v>
      </c>
      <c r="R32" s="28">
        <f t="shared" si="12"/>
        <v>3332.1755250194456</v>
      </c>
      <c r="S32" s="28">
        <f t="shared" si="12"/>
        <v>3444.1760987357011</v>
      </c>
      <c r="T32" s="28">
        <f t="shared" si="12"/>
        <v>3559.1754769185964</v>
      </c>
      <c r="U32" s="28">
        <f t="shared" si="12"/>
        <v>3678.9015096354547</v>
      </c>
      <c r="V32" s="28">
        <f t="shared" si="12"/>
        <v>3802.660835236421</v>
      </c>
      <c r="W32" s="28">
        <f t="shared" si="12"/>
        <v>3930.5893260219445</v>
      </c>
      <c r="X32" s="28">
        <f t="shared" si="12"/>
        <v>4062.8274315157423</v>
      </c>
      <c r="Y32" s="28">
        <f t="shared" si="12"/>
        <v>4199.5203326608535</v>
      </c>
      <c r="Z32" s="28">
        <f t="shared" si="12"/>
        <v>4340.8181012102023</v>
      </c>
    </row>
    <row r="33" spans="1:27" ht="15" x14ac:dyDescent="0.25">
      <c r="A33" s="1" t="s">
        <v>7</v>
      </c>
      <c r="C33" s="14">
        <f>C19/(C32*8.76)</f>
        <v>0.66431644283075186</v>
      </c>
      <c r="D33" s="14">
        <f t="shared" ref="D33:T33" si="13">IF(B3="AR 2008",D49,D50)</f>
        <v>0.66153646910392827</v>
      </c>
      <c r="E33" s="14">
        <f t="shared" si="13"/>
        <v>0.66158854966521286</v>
      </c>
      <c r="F33" s="14">
        <f t="shared" si="13"/>
        <v>0.66166005056662236</v>
      </c>
      <c r="G33" s="14">
        <f t="shared" si="13"/>
        <v>0.66166233412195385</v>
      </c>
      <c r="H33" s="14">
        <f t="shared" si="13"/>
        <v>0.66157082165299075</v>
      </c>
      <c r="I33" s="14">
        <f t="shared" si="13"/>
        <v>0.661769571835087</v>
      </c>
      <c r="J33" s="14">
        <f t="shared" si="13"/>
        <v>0.66172559184008628</v>
      </c>
      <c r="K33" s="14">
        <f t="shared" si="13"/>
        <v>0.66156488147376458</v>
      </c>
      <c r="L33" s="14">
        <f t="shared" si="13"/>
        <v>0.66164901879151772</v>
      </c>
      <c r="M33" s="14">
        <f t="shared" si="13"/>
        <v>0.66171211841726285</v>
      </c>
      <c r="N33" s="14">
        <f t="shared" si="13"/>
        <v>0.6615682278189734</v>
      </c>
      <c r="O33" s="14">
        <f t="shared" si="13"/>
        <v>0.66167625661676255</v>
      </c>
      <c r="P33" s="14">
        <f t="shared" si="13"/>
        <v>0.66166069321371779</v>
      </c>
      <c r="Q33" s="14">
        <f t="shared" si="13"/>
        <v>0.66153322555943161</v>
      </c>
      <c r="R33" s="14">
        <f t="shared" si="13"/>
        <v>0.66170244011567181</v>
      </c>
      <c r="S33" s="14">
        <f t="shared" si="13"/>
        <v>0.6616290973403387</v>
      </c>
      <c r="T33" s="14">
        <f t="shared" si="13"/>
        <v>0.66170858997386695</v>
      </c>
      <c r="U33" s="14">
        <f>T33</f>
        <v>0.66170858997386695</v>
      </c>
      <c r="V33" s="14">
        <f t="shared" ref="V33:Z33" si="14">U33</f>
        <v>0.66170858997386695</v>
      </c>
      <c r="W33" s="14">
        <f t="shared" si="14"/>
        <v>0.66170858997386695</v>
      </c>
      <c r="X33" s="14">
        <f t="shared" si="14"/>
        <v>0.66170858997386695</v>
      </c>
      <c r="Y33" s="14">
        <f t="shared" si="14"/>
        <v>0.66170858997386695</v>
      </c>
      <c r="Z33" s="14">
        <f t="shared" si="14"/>
        <v>0.66170858997386695</v>
      </c>
    </row>
    <row r="34" spans="1:27" ht="15" x14ac:dyDescent="0.25">
      <c r="A34" s="1" t="s">
        <v>8</v>
      </c>
      <c r="C34" s="15"/>
      <c r="D34" s="15">
        <f t="shared" ref="D34:J34" si="15">D32/C32-1</f>
        <v>2.2481018895130545E-2</v>
      </c>
      <c r="E34" s="15">
        <f t="shared" si="15"/>
        <v>2.0080347695489831E-2</v>
      </c>
      <c r="F34" s="15">
        <f t="shared" si="15"/>
        <v>2.2816740664006741E-2</v>
      </c>
      <c r="G34" s="15">
        <f t="shared" si="15"/>
        <v>2.7994339084784325E-2</v>
      </c>
      <c r="H34" s="15">
        <f t="shared" si="15"/>
        <v>2.935980994110543E-2</v>
      </c>
      <c r="I34" s="15">
        <f t="shared" si="15"/>
        <v>2.89348229597437E-2</v>
      </c>
      <c r="J34" s="15">
        <f t="shared" si="15"/>
        <v>2.9728863556756746E-2</v>
      </c>
    </row>
    <row r="35" spans="1:27" ht="15" x14ac:dyDescent="0.25">
      <c r="A35" s="1" t="s">
        <v>75</v>
      </c>
      <c r="B35" s="2" t="s">
        <v>10</v>
      </c>
      <c r="C35" s="35">
        <f>IF(B3="AR 2008",C52,C53)</f>
        <v>1905</v>
      </c>
      <c r="D35" s="15"/>
      <c r="E35" s="15"/>
      <c r="F35" s="15"/>
      <c r="G35" s="15"/>
      <c r="H35" s="15"/>
      <c r="I35" s="15"/>
      <c r="J35" s="15"/>
    </row>
    <row r="36" spans="1:27" s="1" customFormat="1" x14ac:dyDescent="0.2">
      <c r="A36" s="1" t="s">
        <v>81</v>
      </c>
      <c r="B36" s="1" t="s">
        <v>10</v>
      </c>
      <c r="C36" s="72">
        <f>MAX(0,C32-C35)</f>
        <v>238</v>
      </c>
      <c r="D36" s="77">
        <f>C20/(C33*8.76)</f>
        <v>406.74212172239601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1:27" ht="15" x14ac:dyDescent="0.25">
      <c r="A37" s="1" t="s">
        <v>79</v>
      </c>
      <c r="C37" s="15">
        <f>C35/C32-1</f>
        <v>-0.1110592627158189</v>
      </c>
      <c r="D37" s="34">
        <f>C37</f>
        <v>-0.1110592627158189</v>
      </c>
      <c r="E37" s="34">
        <f t="shared" ref="E37:AA37" si="16">D37</f>
        <v>-0.1110592627158189</v>
      </c>
      <c r="F37" s="34">
        <f t="shared" si="16"/>
        <v>-0.1110592627158189</v>
      </c>
      <c r="G37" s="34">
        <f t="shared" si="16"/>
        <v>-0.1110592627158189</v>
      </c>
      <c r="H37" s="34">
        <f t="shared" si="16"/>
        <v>-0.1110592627158189</v>
      </c>
      <c r="I37" s="34">
        <f t="shared" si="16"/>
        <v>-0.1110592627158189</v>
      </c>
      <c r="J37" s="34">
        <f t="shared" si="16"/>
        <v>-0.1110592627158189</v>
      </c>
      <c r="K37" s="34">
        <f t="shared" si="16"/>
        <v>-0.1110592627158189</v>
      </c>
      <c r="L37" s="34">
        <f t="shared" si="16"/>
        <v>-0.1110592627158189</v>
      </c>
      <c r="M37" s="34">
        <f t="shared" si="16"/>
        <v>-0.1110592627158189</v>
      </c>
      <c r="N37" s="34">
        <f t="shared" si="16"/>
        <v>-0.1110592627158189</v>
      </c>
      <c r="O37" s="34">
        <f t="shared" si="16"/>
        <v>-0.1110592627158189</v>
      </c>
      <c r="P37" s="34">
        <f t="shared" si="16"/>
        <v>-0.1110592627158189</v>
      </c>
      <c r="Q37" s="34">
        <f t="shared" si="16"/>
        <v>-0.1110592627158189</v>
      </c>
      <c r="R37" s="34">
        <f t="shared" si="16"/>
        <v>-0.1110592627158189</v>
      </c>
      <c r="S37" s="34">
        <f t="shared" si="16"/>
        <v>-0.1110592627158189</v>
      </c>
      <c r="T37" s="34">
        <f t="shared" si="16"/>
        <v>-0.1110592627158189</v>
      </c>
      <c r="U37" s="34">
        <f t="shared" si="16"/>
        <v>-0.1110592627158189</v>
      </c>
      <c r="V37" s="34">
        <f t="shared" si="16"/>
        <v>-0.1110592627158189</v>
      </c>
      <c r="W37" s="34">
        <f t="shared" si="16"/>
        <v>-0.1110592627158189</v>
      </c>
      <c r="X37" s="34">
        <f t="shared" si="16"/>
        <v>-0.1110592627158189</v>
      </c>
      <c r="Y37" s="34">
        <f t="shared" si="16"/>
        <v>-0.1110592627158189</v>
      </c>
      <c r="Z37" s="34">
        <f t="shared" si="16"/>
        <v>-0.1110592627158189</v>
      </c>
      <c r="AA37" s="34">
        <f t="shared" si="16"/>
        <v>-0.1110592627158189</v>
      </c>
    </row>
    <row r="38" spans="1:27" ht="15" x14ac:dyDescent="0.25">
      <c r="A38" s="1"/>
      <c r="C38" s="15"/>
      <c r="D38" s="15"/>
      <c r="E38" s="15"/>
      <c r="F38" s="15"/>
      <c r="G38" s="15"/>
      <c r="H38" s="15"/>
      <c r="I38" s="15"/>
      <c r="J38" s="15"/>
    </row>
    <row r="39" spans="1:27" ht="15" x14ac:dyDescent="0.25">
      <c r="A39" s="3" t="s">
        <v>78</v>
      </c>
      <c r="C39" s="15"/>
      <c r="D39" s="36"/>
      <c r="E39" s="36"/>
      <c r="F39" s="36"/>
      <c r="G39" s="36"/>
      <c r="H39" s="36"/>
      <c r="I39" s="35"/>
      <c r="J39" s="35"/>
    </row>
    <row r="40" spans="1:27" ht="15" x14ac:dyDescent="0.25">
      <c r="A40" s="1" t="s">
        <v>69</v>
      </c>
      <c r="B40" s="1" t="s">
        <v>1</v>
      </c>
      <c r="D40" s="23">
        <f>SUMIF(AR2008_EnergyProj!$A$3:$A$14,ZIM!$A$2,AR2008_EnergyProj!B$3:B$14)</f>
        <v>12668</v>
      </c>
      <c r="E40" s="23">
        <f>SUMIF(AR2008_EnergyProj!$A$3:$A$14,ZIM!$A$2,AR2008_EnergyProj!C$3:C$14)</f>
        <v>12924</v>
      </c>
      <c r="F40" s="23">
        <f>SUMIF(AR2008_EnergyProj!$A$3:$A$14,ZIM!$A$2,AR2008_EnergyProj!D$3:D$14)</f>
        <v>13221</v>
      </c>
      <c r="G40" s="23">
        <f>SUMIF(AR2008_EnergyProj!$A$3:$A$14,ZIM!$A$2,AR2008_EnergyProj!E$3:E$14)</f>
        <v>13592</v>
      </c>
      <c r="H40" s="23">
        <f>SUMIF(AR2008_EnergyProj!$A$3:$A$14,ZIM!$A$2,AR2008_EnergyProj!F$3:F$14)</f>
        <v>13990</v>
      </c>
      <c r="I40" s="23">
        <f>SUMIF(AR2008_EnergyProj!$A$3:$A$14,ZIM!$A$2,AR2008_EnergyProj!G$3:G$14)</f>
        <v>14400</v>
      </c>
      <c r="J40" s="23">
        <f>SUMIF(AR2008_EnergyProj!$A$3:$A$14,ZIM!$A$2,AR2008_EnergyProj!H$3:H$14)</f>
        <v>14828</v>
      </c>
      <c r="K40" s="23">
        <f>SUMIF(AR2008_EnergyProj!$A$3:$A$14,ZIM!$A$2,AR2008_EnergyProj!I$3:I$14)</f>
        <v>15317</v>
      </c>
      <c r="L40" s="23">
        <f>SUMIF(AR2008_EnergyProj!$A$3:$A$14,ZIM!$A$2,AR2008_EnergyProj!J$3:J$14)</f>
        <v>15829</v>
      </c>
      <c r="M40" s="23">
        <f>SUMIF(AR2008_EnergyProj!$A$3:$A$14,ZIM!$A$2,AR2008_EnergyProj!K$3:K$14)</f>
        <v>16358</v>
      </c>
      <c r="N40" s="23">
        <f>SUMIF(AR2008_EnergyProj!$A$3:$A$14,ZIM!$A$2,AR2008_EnergyProj!L$3:L$14)</f>
        <v>16905</v>
      </c>
      <c r="O40" s="23">
        <f>SUMIF(AR2008_EnergyProj!$A$3:$A$14,ZIM!$A$2,AR2008_EnergyProj!M$3:M$14)</f>
        <v>17470</v>
      </c>
      <c r="P40" s="23">
        <f>SUMIF(AR2008_EnergyProj!$A$3:$A$14,ZIM!$A$2,AR2008_EnergyProj!N$3:N$14)</f>
        <v>18055</v>
      </c>
      <c r="Q40" s="23">
        <f>SUMIF(AR2008_EnergyProj!$A$3:$A$14,ZIM!$A$2,AR2008_EnergyProj!O$3:O$14)</f>
        <v>18660</v>
      </c>
      <c r="R40" s="23">
        <f>SUMIF(AR2008_EnergyProj!$A$3:$A$14,ZIM!$A$2,AR2008_EnergyProj!P$3:P$14)</f>
        <v>19285</v>
      </c>
      <c r="S40" s="23">
        <f>SUMIF(AR2008_EnergyProj!$A$3:$A$14,ZIM!$A$2,AR2008_EnergyProj!Q$3:Q$14)</f>
        <v>19932</v>
      </c>
      <c r="T40" s="23">
        <f>SUMIF(AR2008_EnergyProj!$A$3:$A$14,ZIM!$A$2,AR2008_EnergyProj!R$3:R$14)</f>
        <v>20601</v>
      </c>
    </row>
    <row r="41" spans="1:27" ht="15" x14ac:dyDescent="0.25">
      <c r="A41" s="1" t="s">
        <v>11</v>
      </c>
      <c r="B41" s="1"/>
      <c r="D41" s="26">
        <f>VLOOKUP($A$2,AR2008_Stats!$B$4:$O$15,AR2008_Stats!I$1,FALSE)/100</f>
        <v>-1.1000000000000001E-2</v>
      </c>
      <c r="E41" s="18">
        <f>E40/D40-1</f>
        <v>2.0208399115882569E-2</v>
      </c>
      <c r="F41" s="18">
        <f t="shared" ref="F41:T41" si="17">F40/E40-1</f>
        <v>2.2980501392757757E-2</v>
      </c>
      <c r="G41" s="18">
        <f t="shared" si="17"/>
        <v>2.8061417441948455E-2</v>
      </c>
      <c r="H41" s="18">
        <f t="shared" si="17"/>
        <v>2.9281930547380819E-2</v>
      </c>
      <c r="I41" s="18">
        <f t="shared" si="17"/>
        <v>2.9306647605432445E-2</v>
      </c>
      <c r="J41" s="18">
        <f t="shared" si="17"/>
        <v>2.9722222222222205E-2</v>
      </c>
      <c r="K41" s="18">
        <f t="shared" si="17"/>
        <v>3.2978149446992067E-2</v>
      </c>
      <c r="L41" s="18">
        <f t="shared" si="17"/>
        <v>3.3426911275053817E-2</v>
      </c>
      <c r="M41" s="18">
        <f t="shared" si="17"/>
        <v>3.3419672752542873E-2</v>
      </c>
      <c r="N41" s="18">
        <f t="shared" si="17"/>
        <v>3.3439295757427656E-2</v>
      </c>
      <c r="O41" s="18">
        <f t="shared" si="17"/>
        <v>3.342206447796503E-2</v>
      </c>
      <c r="P41" s="18">
        <f t="shared" si="17"/>
        <v>3.348597595878644E-2</v>
      </c>
      <c r="Q41" s="18">
        <f t="shared" si="17"/>
        <v>3.3508723345333724E-2</v>
      </c>
      <c r="R41" s="18">
        <f t="shared" si="17"/>
        <v>3.3494105037513489E-2</v>
      </c>
      <c r="S41" s="18">
        <f t="shared" si="17"/>
        <v>3.3549390718174754E-2</v>
      </c>
      <c r="T41" s="18">
        <f t="shared" si="17"/>
        <v>3.3564118001204069E-2</v>
      </c>
      <c r="U41" s="4">
        <f>T41</f>
        <v>3.3564118001204069E-2</v>
      </c>
    </row>
    <row r="42" spans="1:27" ht="15" x14ac:dyDescent="0.25">
      <c r="A42" s="1" t="s">
        <v>118</v>
      </c>
      <c r="B42" s="1" t="s">
        <v>1</v>
      </c>
      <c r="C42" s="23">
        <f>SUMIF(PoolPlan_EnergyProj!$B$60:$B$71,ZIM!$A$2,PoolPlan_EnergyProj!D$60:D$71)</f>
        <v>12441</v>
      </c>
      <c r="D42" s="23">
        <f>SUMIF(PoolPlan_EnergyProj!$B$60:$B$71,ZIM!$A$2,PoolPlan_EnergyProj!E$60:E$71)</f>
        <v>12668</v>
      </c>
      <c r="E42" s="23">
        <f>SUMIF(PoolPlan_EnergyProj!$B$60:$B$71,ZIM!$A$2,PoolPlan_EnergyProj!F$60:F$71)</f>
        <v>12924</v>
      </c>
      <c r="F42" s="23">
        <f>SUMIF(PoolPlan_EnergyProj!$B$60:$B$71,ZIM!$A$2,PoolPlan_EnergyProj!G$60:G$71)</f>
        <v>13221</v>
      </c>
      <c r="G42" s="23">
        <f>SUMIF(PoolPlan_EnergyProj!$B$60:$B$71,ZIM!$A$2,PoolPlan_EnergyProj!H$60:H$71)</f>
        <v>13592</v>
      </c>
      <c r="H42" s="23">
        <f>SUMIF(PoolPlan_EnergyProj!$B$60:$B$71,ZIM!$A$2,PoolPlan_EnergyProj!I$60:I$71)</f>
        <v>13990</v>
      </c>
      <c r="I42" s="23">
        <f>SUMIF(PoolPlan_EnergyProj!$B$60:$B$71,ZIM!$A$2,PoolPlan_EnergyProj!J$60:J$71)</f>
        <v>14400</v>
      </c>
      <c r="J42" s="23">
        <f>SUMIF(PoolPlan_EnergyProj!$B$60:$B$71,ZIM!$A$2,PoolPlan_EnergyProj!K$60:K$71)</f>
        <v>14828</v>
      </c>
      <c r="K42" s="23">
        <f>SUMIF(PoolPlan_EnergyProj!$B$60:$B$71,ZIM!$A$2,PoolPlan_EnergyProj!L$60:L$71)</f>
        <v>15317</v>
      </c>
      <c r="L42" s="23">
        <f>SUMIF(PoolPlan_EnergyProj!$B$60:$B$71,ZIM!$A$2,PoolPlan_EnergyProj!M$60:M$71)</f>
        <v>15829</v>
      </c>
      <c r="M42" s="23">
        <f>SUMIF(PoolPlan_EnergyProj!$B$60:$B$71,ZIM!$A$2,PoolPlan_EnergyProj!N$60:N$71)</f>
        <v>16358</v>
      </c>
      <c r="N42" s="23">
        <f>SUMIF(PoolPlan_EnergyProj!$B$60:$B$71,ZIM!$A$2,PoolPlan_EnergyProj!O$60:O$71)</f>
        <v>16905</v>
      </c>
      <c r="O42" s="23">
        <f>SUMIF(PoolPlan_EnergyProj!$B$60:$B$71,ZIM!$A$2,PoolPlan_EnergyProj!P$60:P$71)</f>
        <v>17470</v>
      </c>
      <c r="P42" s="23">
        <f>SUMIF(PoolPlan_EnergyProj!$B$60:$B$71,ZIM!$A$2,PoolPlan_EnergyProj!Q$60:Q$71)</f>
        <v>18055</v>
      </c>
      <c r="Q42" s="23">
        <f>SUMIF(PoolPlan_EnergyProj!$B$60:$B$71,ZIM!$A$2,PoolPlan_EnergyProj!R$60:R$71)</f>
        <v>18660</v>
      </c>
      <c r="R42" s="23">
        <f>SUMIF(PoolPlan_EnergyProj!$B$60:$B$71,ZIM!$A$2,PoolPlan_EnergyProj!S$60:S$71)</f>
        <v>19285</v>
      </c>
      <c r="S42" s="23">
        <f>SUMIF(PoolPlan_EnergyProj!$B$60:$B$71,ZIM!$A$2,PoolPlan_EnergyProj!T$60:T$71)</f>
        <v>19932</v>
      </c>
      <c r="T42" s="23">
        <f>SUMIF(PoolPlan_EnergyProj!$B$60:$B$71,ZIM!$A$2,PoolPlan_EnergyProj!U$60:U$71)</f>
        <v>20601</v>
      </c>
      <c r="U42" s="23">
        <f>SUMIF(PoolPlan_EnergyProj!$B$60:$B$71,ZIM!$A$2,PoolPlan_EnergyProj!V$60:V$71)</f>
        <v>21295</v>
      </c>
      <c r="V42" s="23"/>
    </row>
    <row r="43" spans="1:27" x14ac:dyDescent="0.2">
      <c r="A43" s="1" t="s">
        <v>11</v>
      </c>
      <c r="B43" s="1"/>
      <c r="C43" s="16"/>
      <c r="D43" s="18">
        <f>D42/C42-1</f>
        <v>1.8246121694397655E-2</v>
      </c>
      <c r="E43" s="18">
        <f t="shared" ref="E43:U43" si="18">E42/D42-1</f>
        <v>2.0208399115882569E-2</v>
      </c>
      <c r="F43" s="18">
        <f t="shared" si="18"/>
        <v>2.2980501392757757E-2</v>
      </c>
      <c r="G43" s="18">
        <f t="shared" si="18"/>
        <v>2.8061417441948455E-2</v>
      </c>
      <c r="H43" s="18">
        <f t="shared" si="18"/>
        <v>2.9281930547380819E-2</v>
      </c>
      <c r="I43" s="18">
        <f t="shared" si="18"/>
        <v>2.9306647605432445E-2</v>
      </c>
      <c r="J43" s="18">
        <f t="shared" si="18"/>
        <v>2.9722222222222205E-2</v>
      </c>
      <c r="K43" s="18">
        <f t="shared" si="18"/>
        <v>3.2978149446992067E-2</v>
      </c>
      <c r="L43" s="18">
        <f t="shared" si="18"/>
        <v>3.3426911275053817E-2</v>
      </c>
      <c r="M43" s="18">
        <f t="shared" si="18"/>
        <v>3.3419672752542873E-2</v>
      </c>
      <c r="N43" s="18">
        <f t="shared" si="18"/>
        <v>3.3439295757427656E-2</v>
      </c>
      <c r="O43" s="18">
        <f t="shared" si="18"/>
        <v>3.342206447796503E-2</v>
      </c>
      <c r="P43" s="18">
        <f t="shared" si="18"/>
        <v>3.348597595878644E-2</v>
      </c>
      <c r="Q43" s="18">
        <f t="shared" si="18"/>
        <v>3.3508723345333724E-2</v>
      </c>
      <c r="R43" s="18">
        <f t="shared" si="18"/>
        <v>3.3494105037513489E-2</v>
      </c>
      <c r="S43" s="18">
        <f t="shared" si="18"/>
        <v>3.3549390718174754E-2</v>
      </c>
      <c r="T43" s="18">
        <f t="shared" si="18"/>
        <v>3.3564118001204069E-2</v>
      </c>
      <c r="U43" s="18">
        <f t="shared" si="18"/>
        <v>3.3687685063831907E-2</v>
      </c>
    </row>
    <row r="44" spans="1:27" x14ac:dyDescent="0.2">
      <c r="A44" s="1"/>
      <c r="B44" s="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7" ht="15" x14ac:dyDescent="0.25">
      <c r="A45" s="1" t="s">
        <v>9</v>
      </c>
      <c r="B45" s="1" t="s">
        <v>10</v>
      </c>
      <c r="C45"/>
      <c r="D45">
        <f>SUMIF(AR2008_PeakProj!$A$3:$A$14,ZIM!$A$2,AR2008_PeakProj!B$3:B$14)</f>
        <v>2186</v>
      </c>
      <c r="E45">
        <f>SUMIF(AR2008_PeakProj!$A$3:$A$14,ZIM!$A$2,AR2008_PeakProj!C$3:C$14)</f>
        <v>2230</v>
      </c>
      <c r="F45">
        <f>SUMIF(AR2008_PeakProj!$A$3:$A$14,ZIM!$A$2,AR2008_PeakProj!D$3:D$14)</f>
        <v>2281</v>
      </c>
      <c r="G45">
        <f>SUMIF(AR2008_PeakProj!$A$3:$A$14,ZIM!$A$2,AR2008_PeakProj!E$3:E$14)</f>
        <v>2345</v>
      </c>
      <c r="H45">
        <f>SUMIF(AR2008_PeakProj!$A$3:$A$14,ZIM!$A$2,AR2008_PeakProj!F$3:F$14)</f>
        <v>2414</v>
      </c>
      <c r="I45">
        <f>SUMIF(AR2008_PeakProj!$A$3:$A$14,ZIM!$A$2,AR2008_PeakProj!G$3:G$14)</f>
        <v>2484</v>
      </c>
      <c r="J45">
        <f>SUMIF(AR2008_PeakProj!$A$3:$A$14,ZIM!$A$2,AR2008_PeakProj!H$3:H$14)</f>
        <v>2558</v>
      </c>
      <c r="K45">
        <f>SUMIF(AR2008_PeakProj!$A$3:$A$14,ZIM!$A$2,AR2008_PeakProj!I$3:I$14)</f>
        <v>2643</v>
      </c>
      <c r="L45">
        <f>SUMIF(AR2008_PeakProj!$A$3:$A$14,ZIM!$A$2,AR2008_PeakProj!J$3:J$14)</f>
        <v>2731</v>
      </c>
      <c r="M45">
        <f>SUMIF(AR2008_PeakProj!$A$3:$A$14,ZIM!$A$2,AR2008_PeakProj!K$3:K$14)</f>
        <v>2822</v>
      </c>
      <c r="N45">
        <f>SUMIF(AR2008_PeakProj!$A$3:$A$14,ZIM!$A$2,AR2008_PeakProj!L$3:L$14)</f>
        <v>2917</v>
      </c>
      <c r="O45">
        <f>SUMIF(AR2008_PeakProj!$A$3:$A$14,ZIM!$A$2,AR2008_PeakProj!M$3:M$14)</f>
        <v>3014</v>
      </c>
      <c r="P45">
        <f>SUMIF(AR2008_PeakProj!$A$3:$A$14,ZIM!$A$2,AR2008_PeakProj!N$3:N$14)</f>
        <v>3115</v>
      </c>
      <c r="Q45">
        <f>SUMIF(AR2008_PeakProj!$A$3:$A$14,ZIM!$A$2,AR2008_PeakProj!O$3:O$14)</f>
        <v>3220</v>
      </c>
      <c r="R45">
        <f>SUMIF(AR2008_PeakProj!$A$3:$A$14,ZIM!$A$2,AR2008_PeakProj!P$3:P$14)</f>
        <v>3327</v>
      </c>
      <c r="S45">
        <f>SUMIF(AR2008_PeakProj!$A$3:$A$14,ZIM!$A$2,AR2008_PeakProj!Q$3:Q$14)</f>
        <v>3439</v>
      </c>
      <c r="T45">
        <f>SUMIF(AR2008_PeakProj!$A$3:$A$14,ZIM!$A$2,AR2008_PeakProj!R$3:R$14)</f>
        <v>3554</v>
      </c>
      <c r="U45">
        <f>SUMIF(AR2008_PeakProj!$A$3:$A$14,ZIM!$A$2,AR2008_PeakProj!S$3:S$14)</f>
        <v>3674</v>
      </c>
    </row>
    <row r="46" spans="1:27" x14ac:dyDescent="0.2">
      <c r="A46" s="1" t="s">
        <v>11</v>
      </c>
      <c r="B46" s="1" t="s">
        <v>12</v>
      </c>
      <c r="E46" s="18">
        <f>E45/D45-1</f>
        <v>2.0128087831656094E-2</v>
      </c>
      <c r="F46" s="18">
        <f t="shared" ref="F46:U46" si="19">F45/E45-1</f>
        <v>2.2869955156950672E-2</v>
      </c>
      <c r="G46" s="18">
        <f t="shared" si="19"/>
        <v>2.8057869355545773E-2</v>
      </c>
      <c r="H46" s="18">
        <f t="shared" si="19"/>
        <v>2.9424307036247432E-2</v>
      </c>
      <c r="I46" s="18">
        <f t="shared" si="19"/>
        <v>2.8997514498757315E-2</v>
      </c>
      <c r="J46" s="18">
        <f t="shared" si="19"/>
        <v>2.9790660225442744E-2</v>
      </c>
      <c r="K46" s="18">
        <f t="shared" si="19"/>
        <v>3.3229085222830301E-2</v>
      </c>
      <c r="L46" s="18">
        <f t="shared" si="19"/>
        <v>3.3295497540673402E-2</v>
      </c>
      <c r="M46" s="18">
        <f t="shared" si="19"/>
        <v>3.3321127792017569E-2</v>
      </c>
      <c r="N46" s="18">
        <f t="shared" si="19"/>
        <v>3.3664068036853401E-2</v>
      </c>
      <c r="O46" s="18">
        <f t="shared" si="19"/>
        <v>3.3253342475145775E-2</v>
      </c>
      <c r="P46" s="18">
        <f t="shared" si="19"/>
        <v>3.3510285335102807E-2</v>
      </c>
      <c r="Q46" s="18">
        <f t="shared" si="19"/>
        <v>3.3707865168539408E-2</v>
      </c>
      <c r="R46" s="18">
        <f t="shared" si="19"/>
        <v>3.3229813664596319E-2</v>
      </c>
      <c r="S46" s="18">
        <f t="shared" si="19"/>
        <v>3.3663961526901209E-2</v>
      </c>
      <c r="T46" s="18">
        <f t="shared" si="19"/>
        <v>3.3439953474847295E-2</v>
      </c>
      <c r="U46" s="18">
        <f t="shared" si="19"/>
        <v>3.3764772087788497E-2</v>
      </c>
    </row>
    <row r="47" spans="1:27" ht="15" x14ac:dyDescent="0.25">
      <c r="A47" s="1" t="s">
        <v>39</v>
      </c>
      <c r="B47" s="1" t="s">
        <v>10</v>
      </c>
      <c r="C47">
        <f>SUMIF(PoolPlan_PeakProj!$A$25:$A$36,ZIM!$A$2,PoolPlan_PeakProj!C$25:C$36)</f>
        <v>2143</v>
      </c>
      <c r="D47">
        <f>SUMIF(PoolPlan_PeakProj!$A$25:$A$36,ZIM!$A$2,PoolPlan_PeakProj!D$25:D$36)</f>
        <v>2186</v>
      </c>
      <c r="E47">
        <f>SUMIF(PoolPlan_PeakProj!$A$25:$A$36,ZIM!$A$2,PoolPlan_PeakProj!E$25:E$36)</f>
        <v>2230</v>
      </c>
      <c r="F47">
        <f>SUMIF(PoolPlan_PeakProj!$A$25:$A$36,ZIM!$A$2,PoolPlan_PeakProj!F$25:F$36)</f>
        <v>2281</v>
      </c>
      <c r="G47">
        <f>SUMIF(PoolPlan_PeakProj!$A$25:$A$36,ZIM!$A$2,PoolPlan_PeakProj!G$25:G$36)</f>
        <v>2345</v>
      </c>
      <c r="H47">
        <f>SUMIF(PoolPlan_PeakProj!$A$25:$A$36,ZIM!$A$2,PoolPlan_PeakProj!H$25:H$36)</f>
        <v>2414</v>
      </c>
      <c r="I47">
        <f>SUMIF(PoolPlan_PeakProj!$A$25:$A$36,ZIM!$A$2,PoolPlan_PeakProj!I$25:I$36)</f>
        <v>2484</v>
      </c>
      <c r="J47">
        <f>SUMIF(PoolPlan_PeakProj!$A$25:$A$36,ZIM!$A$2,PoolPlan_PeakProj!J$25:J$36)</f>
        <v>2558</v>
      </c>
      <c r="K47">
        <f>SUMIF(PoolPlan_PeakProj!$A$25:$A$36,ZIM!$A$2,PoolPlan_PeakProj!K$25:K$36)</f>
        <v>2643</v>
      </c>
      <c r="L47">
        <f>SUMIF(PoolPlan_PeakProj!$A$25:$A$36,ZIM!$A$2,PoolPlan_PeakProj!L$25:L$36)</f>
        <v>2731</v>
      </c>
      <c r="M47">
        <f>SUMIF(PoolPlan_PeakProj!$A$25:$A$36,ZIM!$A$2,PoolPlan_PeakProj!M$25:M$36)</f>
        <v>2822</v>
      </c>
      <c r="N47">
        <f>SUMIF(PoolPlan_PeakProj!$A$25:$A$36,ZIM!$A$2,PoolPlan_PeakProj!N$25:N$36)</f>
        <v>2917</v>
      </c>
      <c r="O47">
        <f>SUMIF(PoolPlan_PeakProj!$A$25:$A$36,ZIM!$A$2,PoolPlan_PeakProj!O$25:O$36)</f>
        <v>3014</v>
      </c>
      <c r="P47">
        <f>SUMIF(PoolPlan_PeakProj!$A$25:$A$36,ZIM!$A$2,PoolPlan_PeakProj!P$25:P$36)</f>
        <v>3115</v>
      </c>
      <c r="Q47">
        <f>SUMIF(PoolPlan_PeakProj!$A$25:$A$36,ZIM!$A$2,PoolPlan_PeakProj!Q$25:Q$36)</f>
        <v>3220</v>
      </c>
      <c r="R47">
        <f>SUMIF(PoolPlan_PeakProj!$A$25:$A$36,ZIM!$A$2,PoolPlan_PeakProj!R$25:R$36)</f>
        <v>3327</v>
      </c>
      <c r="S47">
        <f>SUMIF(PoolPlan_PeakProj!$A$25:$A$36,ZIM!$A$2,PoolPlan_PeakProj!S$25:S$36)</f>
        <v>3439</v>
      </c>
      <c r="T47">
        <f>SUMIF(PoolPlan_PeakProj!$A$25:$A$36,ZIM!$A$2,PoolPlan_PeakProj!T$25:T$36)</f>
        <v>3554</v>
      </c>
      <c r="U47">
        <f>SUMIF(PoolPlan_PeakProj!$A$25:$A$36,ZIM!$A$2,PoolPlan_PeakProj!U$25:U$36)</f>
        <v>3674</v>
      </c>
    </row>
    <row r="48" spans="1:27" x14ac:dyDescent="0.2">
      <c r="A48" s="1" t="s">
        <v>11</v>
      </c>
      <c r="B48" s="1"/>
      <c r="D48" s="18">
        <f>D47/C47-1</f>
        <v>2.006532897806812E-2</v>
      </c>
      <c r="E48" s="18">
        <f t="shared" ref="E48:U48" si="20">E47/D47-1</f>
        <v>2.0128087831656094E-2</v>
      </c>
      <c r="F48" s="18">
        <f t="shared" si="20"/>
        <v>2.2869955156950672E-2</v>
      </c>
      <c r="G48" s="18">
        <f t="shared" si="20"/>
        <v>2.8057869355545773E-2</v>
      </c>
      <c r="H48" s="18">
        <f t="shared" si="20"/>
        <v>2.9424307036247432E-2</v>
      </c>
      <c r="I48" s="18">
        <f t="shared" si="20"/>
        <v>2.8997514498757315E-2</v>
      </c>
      <c r="J48" s="18">
        <f t="shared" si="20"/>
        <v>2.9790660225442744E-2</v>
      </c>
      <c r="K48" s="18">
        <f t="shared" si="20"/>
        <v>3.3229085222830301E-2</v>
      </c>
      <c r="L48" s="18">
        <f t="shared" si="20"/>
        <v>3.3295497540673402E-2</v>
      </c>
      <c r="M48" s="18">
        <f t="shared" si="20"/>
        <v>3.3321127792017569E-2</v>
      </c>
      <c r="N48" s="18">
        <f t="shared" si="20"/>
        <v>3.3664068036853401E-2</v>
      </c>
      <c r="O48" s="18">
        <f t="shared" si="20"/>
        <v>3.3253342475145775E-2</v>
      </c>
      <c r="P48" s="18">
        <f t="shared" si="20"/>
        <v>3.3510285335102807E-2</v>
      </c>
      <c r="Q48" s="18">
        <f t="shared" si="20"/>
        <v>3.3707865168539408E-2</v>
      </c>
      <c r="R48" s="18">
        <f t="shared" si="20"/>
        <v>3.3229813664596319E-2</v>
      </c>
      <c r="S48" s="18">
        <f t="shared" si="20"/>
        <v>3.3663961526901209E-2</v>
      </c>
      <c r="T48" s="18">
        <f t="shared" si="20"/>
        <v>3.3439953474847295E-2</v>
      </c>
      <c r="U48" s="18">
        <f t="shared" si="20"/>
        <v>3.3764772087788497E-2</v>
      </c>
    </row>
    <row r="49" spans="1:20" x14ac:dyDescent="0.2">
      <c r="A49" s="1" t="s">
        <v>70</v>
      </c>
      <c r="B49" s="1" t="s">
        <v>12</v>
      </c>
      <c r="D49" s="18">
        <f t="shared" ref="D49:T49" si="21">D40/(D45*8.76)</f>
        <v>0.66153646910392827</v>
      </c>
      <c r="E49" s="18">
        <f t="shared" si="21"/>
        <v>0.66158854966521286</v>
      </c>
      <c r="F49" s="18">
        <f t="shared" si="21"/>
        <v>0.66166005056662236</v>
      </c>
      <c r="G49" s="18">
        <f t="shared" si="21"/>
        <v>0.66166233412195385</v>
      </c>
      <c r="H49" s="18">
        <f t="shared" si="21"/>
        <v>0.66157082165299075</v>
      </c>
      <c r="I49" s="18">
        <f t="shared" si="21"/>
        <v>0.661769571835087</v>
      </c>
      <c r="J49" s="18">
        <f t="shared" si="21"/>
        <v>0.66172559184008628</v>
      </c>
      <c r="K49" s="18">
        <f t="shared" si="21"/>
        <v>0.66156488147376458</v>
      </c>
      <c r="L49" s="18">
        <f t="shared" si="21"/>
        <v>0.66164901879151772</v>
      </c>
      <c r="M49" s="18">
        <f t="shared" si="21"/>
        <v>0.66171211841726285</v>
      </c>
      <c r="N49" s="18">
        <f t="shared" si="21"/>
        <v>0.6615682278189734</v>
      </c>
      <c r="O49" s="18">
        <f t="shared" si="21"/>
        <v>0.66167625661676255</v>
      </c>
      <c r="P49" s="18">
        <f t="shared" si="21"/>
        <v>0.66166069321371779</v>
      </c>
      <c r="Q49" s="18">
        <f t="shared" si="21"/>
        <v>0.66153322555943161</v>
      </c>
      <c r="R49" s="18">
        <f t="shared" si="21"/>
        <v>0.66170244011567181</v>
      </c>
      <c r="S49" s="18">
        <f t="shared" si="21"/>
        <v>0.6616290973403387</v>
      </c>
      <c r="T49" s="18">
        <f t="shared" si="21"/>
        <v>0.66170858997386695</v>
      </c>
    </row>
    <row r="50" spans="1:20" x14ac:dyDescent="0.2">
      <c r="A50" s="1" t="s">
        <v>41</v>
      </c>
      <c r="C50" s="18">
        <f t="shared" ref="C50:T50" si="22">C42/(C47*8.76)</f>
        <v>0.66271837585256876</v>
      </c>
      <c r="D50" s="18">
        <f t="shared" si="22"/>
        <v>0.66153646910392827</v>
      </c>
      <c r="E50" s="18">
        <f t="shared" si="22"/>
        <v>0.66158854966521286</v>
      </c>
      <c r="F50" s="18">
        <f t="shared" si="22"/>
        <v>0.66166005056662236</v>
      </c>
      <c r="G50" s="18">
        <f t="shared" si="22"/>
        <v>0.66166233412195385</v>
      </c>
      <c r="H50" s="18">
        <f t="shared" si="22"/>
        <v>0.66157082165299075</v>
      </c>
      <c r="I50" s="18">
        <f t="shared" si="22"/>
        <v>0.661769571835087</v>
      </c>
      <c r="J50" s="18">
        <f t="shared" si="22"/>
        <v>0.66172559184008628</v>
      </c>
      <c r="K50" s="18">
        <f t="shared" si="22"/>
        <v>0.66156488147376458</v>
      </c>
      <c r="L50" s="18">
        <f t="shared" si="22"/>
        <v>0.66164901879151772</v>
      </c>
      <c r="M50" s="18">
        <f t="shared" si="22"/>
        <v>0.66171211841726285</v>
      </c>
      <c r="N50" s="18">
        <f t="shared" si="22"/>
        <v>0.6615682278189734</v>
      </c>
      <c r="O50" s="18">
        <f t="shared" si="22"/>
        <v>0.66167625661676255</v>
      </c>
      <c r="P50" s="18">
        <f t="shared" si="22"/>
        <v>0.66166069321371779</v>
      </c>
      <c r="Q50" s="18">
        <f t="shared" si="22"/>
        <v>0.66153322555943161</v>
      </c>
      <c r="R50" s="18">
        <f t="shared" si="22"/>
        <v>0.66170244011567181</v>
      </c>
      <c r="S50" s="18">
        <f t="shared" si="22"/>
        <v>0.6616290973403387</v>
      </c>
      <c r="T50" s="18">
        <f t="shared" si="22"/>
        <v>0.66170858997386695</v>
      </c>
    </row>
    <row r="51" spans="1:20" x14ac:dyDescent="0.2">
      <c r="A51" s="1" t="s">
        <v>114</v>
      </c>
      <c r="C51" s="18"/>
      <c r="D51" s="16">
        <f>D50/C50-1</f>
        <v>-1.7834223279533656E-3</v>
      </c>
      <c r="E51" s="16">
        <f t="shared" ref="E51:T51" si="23">E50/D50-1</f>
        <v>7.8726666959294533E-5</v>
      </c>
      <c r="F51" s="16">
        <f t="shared" si="23"/>
        <v>1.0807457512029828E-4</v>
      </c>
      <c r="G51" s="16">
        <f t="shared" si="23"/>
        <v>3.4512516351448141E-6</v>
      </c>
      <c r="H51" s="16">
        <f t="shared" si="23"/>
        <v>-1.3830690405636226E-4</v>
      </c>
      <c r="I51" s="16">
        <f t="shared" si="23"/>
        <v>3.0042162621324309E-4</v>
      </c>
      <c r="J51" s="16">
        <f t="shared" si="23"/>
        <v>-6.6458170445593545E-5</v>
      </c>
      <c r="K51" s="16">
        <f t="shared" si="23"/>
        <v>-2.4286557495045713E-4</v>
      </c>
      <c r="L51" s="16">
        <f t="shared" si="23"/>
        <v>1.2717923836236267E-4</v>
      </c>
      <c r="M51" s="16">
        <f t="shared" si="23"/>
        <v>9.5367217290531769E-5</v>
      </c>
      <c r="N51" s="16">
        <f t="shared" si="23"/>
        <v>-2.1745196178912796E-4</v>
      </c>
      <c r="O51" s="16">
        <f t="shared" si="23"/>
        <v>1.632919980836256E-4</v>
      </c>
      <c r="P51" s="16">
        <f t="shared" si="23"/>
        <v>-2.3521175029572738E-5</v>
      </c>
      <c r="Q51" s="16">
        <f t="shared" si="23"/>
        <v>-1.9264806810126434E-4</v>
      </c>
      <c r="R51" s="16">
        <f t="shared" si="23"/>
        <v>2.5579147003096381E-4</v>
      </c>
      <c r="S51" s="16">
        <f t="shared" si="23"/>
        <v>-1.1083951166979134E-4</v>
      </c>
      <c r="T51" s="16">
        <f t="shared" si="23"/>
        <v>1.2014682221161976E-4</v>
      </c>
    </row>
    <row r="52" spans="1:20" ht="15" x14ac:dyDescent="0.25">
      <c r="A52" s="1" t="s">
        <v>84</v>
      </c>
      <c r="B52" s="1" t="s">
        <v>10</v>
      </c>
      <c r="C52" s="38">
        <f>VLOOKUP($A$2,AR2008_Stats!$B$4:$O$15,AR2008_Stats!E$1,FALSE)</f>
        <v>1825</v>
      </c>
    </row>
    <row r="53" spans="1:20" ht="15" x14ac:dyDescent="0.25">
      <c r="A53" s="1" t="s">
        <v>83</v>
      </c>
      <c r="B53" s="1" t="s">
        <v>10</v>
      </c>
      <c r="C53" s="74">
        <f>VLOOKUP($A$2,'[1]Total Existing Capacity'!$A$3:$J$14,5,FALSE)</f>
        <v>1905</v>
      </c>
    </row>
    <row r="55" spans="1:20" x14ac:dyDescent="0.2">
      <c r="A55" s="3" t="s">
        <v>71</v>
      </c>
    </row>
    <row r="56" spans="1:20" x14ac:dyDescent="0.2">
      <c r="A56" s="2" t="s">
        <v>72</v>
      </c>
    </row>
    <row r="57" spans="1:20" x14ac:dyDescent="0.2">
      <c r="A57" s="2" t="s">
        <v>73</v>
      </c>
    </row>
    <row r="59" spans="1:20" x14ac:dyDescent="0.2">
      <c r="A59" s="3" t="s">
        <v>80</v>
      </c>
    </row>
    <row r="60" spans="1:20" ht="15" x14ac:dyDescent="0.25">
      <c r="A60" t="s">
        <v>13</v>
      </c>
      <c r="B60" s="2" t="s">
        <v>97</v>
      </c>
    </row>
    <row r="61" spans="1:20" ht="15" x14ac:dyDescent="0.25">
      <c r="A61" t="s">
        <v>14</v>
      </c>
      <c r="B61" s="2" t="s">
        <v>98</v>
      </c>
    </row>
    <row r="62" spans="1:20" ht="15" x14ac:dyDescent="0.25">
      <c r="A62" t="s">
        <v>15</v>
      </c>
      <c r="B62" s="2" t="s">
        <v>32</v>
      </c>
    </row>
    <row r="63" spans="1:20" ht="15" x14ac:dyDescent="0.25">
      <c r="A63" t="s">
        <v>16</v>
      </c>
      <c r="B63" s="2" t="s">
        <v>99</v>
      </c>
    </row>
    <row r="64" spans="1:20" ht="15" x14ac:dyDescent="0.25">
      <c r="A64" t="s">
        <v>17</v>
      </c>
      <c r="B64" s="2" t="s">
        <v>100</v>
      </c>
    </row>
    <row r="65" spans="1:2" ht="15" x14ac:dyDescent="0.25">
      <c r="A65" t="s">
        <v>18</v>
      </c>
      <c r="B65" s="2" t="s">
        <v>101</v>
      </c>
    </row>
    <row r="66" spans="1:2" ht="15" x14ac:dyDescent="0.25">
      <c r="A66" t="s">
        <v>19</v>
      </c>
      <c r="B66" s="2" t="s">
        <v>102</v>
      </c>
    </row>
    <row r="67" spans="1:2" ht="15" x14ac:dyDescent="0.25">
      <c r="A67" t="s">
        <v>21</v>
      </c>
      <c r="B67" s="2" t="s">
        <v>103</v>
      </c>
    </row>
    <row r="68" spans="1:2" ht="15" x14ac:dyDescent="0.25">
      <c r="A68" t="s">
        <v>22</v>
      </c>
      <c r="B68" s="2" t="s">
        <v>104</v>
      </c>
    </row>
    <row r="69" spans="1:2" ht="15" x14ac:dyDescent="0.25">
      <c r="A69" t="s">
        <v>23</v>
      </c>
      <c r="B69" s="2" t="s">
        <v>105</v>
      </c>
    </row>
    <row r="70" spans="1:2" ht="15" x14ac:dyDescent="0.25">
      <c r="A70" t="s">
        <v>24</v>
      </c>
      <c r="B70" s="2" t="s">
        <v>106</v>
      </c>
    </row>
    <row r="71" spans="1:2" ht="15" x14ac:dyDescent="0.25">
      <c r="A71" t="s">
        <v>20</v>
      </c>
      <c r="B71" s="2" t="s">
        <v>107</v>
      </c>
    </row>
  </sheetData>
  <dataValidations count="4">
    <dataValidation type="list" allowBlank="1" showInputMessage="1" showErrorMessage="1" sqref="B18">
      <formula1>$B$60:$B$71</formula1>
    </dataValidation>
    <dataValidation type="list" allowBlank="1" showInputMessage="1" showErrorMessage="1" sqref="B13:B17">
      <formula1>$B$60:$B$72</formula1>
    </dataValidation>
    <dataValidation type="list" allowBlank="1" showInputMessage="1" showErrorMessage="1" sqref="B3">
      <formula1>$A$56:$A$57</formula1>
    </dataValidation>
    <dataValidation type="list" allowBlank="1" showInputMessage="1" showErrorMessage="1" sqref="A2">
      <formula1>$A$60:$A$71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S99"/>
  <sheetViews>
    <sheetView workbookViewId="0"/>
  </sheetViews>
  <sheetFormatPr defaultRowHeight="15" x14ac:dyDescent="0.25"/>
  <cols>
    <col min="2" max="2" width="15" customWidth="1"/>
    <col min="3" max="3" width="10.5703125" bestFit="1" customWidth="1"/>
    <col min="13" max="13" width="10.5703125" bestFit="1" customWidth="1"/>
  </cols>
  <sheetData>
    <row r="1" spans="1:45" x14ac:dyDescent="0.25">
      <c r="C1">
        <v>2</v>
      </c>
      <c r="D1">
        <f>C1+1</f>
        <v>3</v>
      </c>
      <c r="E1">
        <f t="shared" ref="E1:AF1" si="0">D1+1</f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t="shared" si="0"/>
        <v>18</v>
      </c>
      <c r="T1">
        <f t="shared" si="0"/>
        <v>19</v>
      </c>
      <c r="U1">
        <f t="shared" si="0"/>
        <v>20</v>
      </c>
      <c r="V1">
        <f t="shared" si="0"/>
        <v>21</v>
      </c>
      <c r="W1">
        <f t="shared" si="0"/>
        <v>22</v>
      </c>
      <c r="X1">
        <f t="shared" si="0"/>
        <v>23</v>
      </c>
      <c r="Y1">
        <f t="shared" si="0"/>
        <v>24</v>
      </c>
      <c r="Z1">
        <f t="shared" si="0"/>
        <v>25</v>
      </c>
      <c r="AA1">
        <f t="shared" si="0"/>
        <v>26</v>
      </c>
      <c r="AB1">
        <f t="shared" si="0"/>
        <v>27</v>
      </c>
      <c r="AC1">
        <f t="shared" si="0"/>
        <v>28</v>
      </c>
      <c r="AD1">
        <f t="shared" si="0"/>
        <v>29</v>
      </c>
      <c r="AE1">
        <f t="shared" si="0"/>
        <v>30</v>
      </c>
      <c r="AF1">
        <f t="shared" si="0"/>
        <v>31</v>
      </c>
    </row>
    <row r="2" spans="1:45" x14ac:dyDescent="0.25">
      <c r="O2">
        <v>2010</v>
      </c>
      <c r="P2">
        <v>2011</v>
      </c>
      <c r="Q2">
        <v>2012</v>
      </c>
      <c r="R2">
        <v>2013</v>
      </c>
      <c r="S2">
        <v>2014</v>
      </c>
      <c r="T2">
        <v>2015</v>
      </c>
      <c r="U2">
        <v>2016</v>
      </c>
      <c r="V2">
        <v>2017</v>
      </c>
      <c r="W2">
        <v>2018</v>
      </c>
      <c r="X2">
        <v>2019</v>
      </c>
      <c r="Y2">
        <v>2020</v>
      </c>
      <c r="Z2">
        <v>2021</v>
      </c>
      <c r="AA2">
        <v>2022</v>
      </c>
      <c r="AB2">
        <v>2023</v>
      </c>
      <c r="AC2">
        <v>2024</v>
      </c>
      <c r="AD2">
        <v>2025</v>
      </c>
      <c r="AE2">
        <v>2026</v>
      </c>
      <c r="AF2">
        <v>2027</v>
      </c>
      <c r="AG2">
        <v>2028</v>
      </c>
      <c r="AH2">
        <v>2029</v>
      </c>
      <c r="AI2">
        <v>2030</v>
      </c>
      <c r="AJ2">
        <v>2031</v>
      </c>
      <c r="AK2">
        <v>2040</v>
      </c>
      <c r="AL2">
        <v>2050</v>
      </c>
      <c r="AM2">
        <v>2060</v>
      </c>
    </row>
    <row r="3" spans="1:45" ht="14.25" customHeight="1" x14ac:dyDescent="0.25">
      <c r="A3" t="s">
        <v>97</v>
      </c>
      <c r="B3" s="63" t="str">
        <f>VLOOKUP(A3,$A$88:$B$99,2,FALSE)</f>
        <v>Angola</v>
      </c>
      <c r="N3" t="str">
        <f ca="1">O3&amp;" "&amp;P3&amp;" "&amp;Q3&amp;" "&amp;R3&amp;" "&amp;S3&amp;" "&amp;T3&amp;" "&amp;U3&amp;" "&amp;V3&amp;" "&amp;W3&amp;" "&amp;X3&amp;" "&amp;Y3&amp;" "&amp;Z3&amp;" "&amp;AA3&amp;" "&amp;AB3&amp;" "&amp;AC3&amp;" "&amp;AD3&amp;" "&amp;AE3&amp;" "&amp;AF3&amp;" "&amp;AG3&amp;" "&amp;AH3&amp;" "&amp;AI3&amp;" "&amp;AJ3&amp;" "&amp;AK3&amp;" "&amp;AL3&amp;" "&amp;AM3</f>
        <v>615 672 729 788 851 916 973 1034 1098 1165 1230 1297 1366 1437 1511 1586 1665 1748 1836 1927 2023 2078 2642 2958 2958</v>
      </c>
      <c r="O3" s="88">
        <f t="shared" ref="O3:Y3" ca="1" si="1">C6</f>
        <v>615</v>
      </c>
      <c r="P3" s="88">
        <f t="shared" ca="1" si="1"/>
        <v>672</v>
      </c>
      <c r="Q3" s="88">
        <f t="shared" ca="1" si="1"/>
        <v>729</v>
      </c>
      <c r="R3" s="88">
        <f t="shared" ca="1" si="1"/>
        <v>788</v>
      </c>
      <c r="S3" s="88">
        <f t="shared" ca="1" si="1"/>
        <v>851</v>
      </c>
      <c r="T3" s="88">
        <f t="shared" ca="1" si="1"/>
        <v>916</v>
      </c>
      <c r="U3" s="88">
        <f t="shared" ca="1" si="1"/>
        <v>973</v>
      </c>
      <c r="V3" s="88">
        <f t="shared" ca="1" si="1"/>
        <v>1034</v>
      </c>
      <c r="W3" s="88">
        <f t="shared" ca="1" si="1"/>
        <v>1098</v>
      </c>
      <c r="X3" s="88">
        <f t="shared" ca="1" si="1"/>
        <v>1165</v>
      </c>
      <c r="Y3" s="88">
        <f t="shared" ca="1" si="1"/>
        <v>1230</v>
      </c>
      <c r="Z3" s="88">
        <f t="shared" ref="Z3:AM3" ca="1" si="2">C8</f>
        <v>1297</v>
      </c>
      <c r="AA3" s="88">
        <f t="shared" ca="1" si="2"/>
        <v>1366</v>
      </c>
      <c r="AB3" s="88">
        <f t="shared" ca="1" si="2"/>
        <v>1437</v>
      </c>
      <c r="AC3" s="88">
        <f t="shared" ca="1" si="2"/>
        <v>1511</v>
      </c>
      <c r="AD3" s="88">
        <f t="shared" ca="1" si="2"/>
        <v>1586</v>
      </c>
      <c r="AE3" s="88">
        <f t="shared" ca="1" si="2"/>
        <v>1665</v>
      </c>
      <c r="AF3" s="88">
        <f t="shared" ca="1" si="2"/>
        <v>1748</v>
      </c>
      <c r="AG3" s="88">
        <f t="shared" ca="1" si="2"/>
        <v>1836</v>
      </c>
      <c r="AH3" s="88">
        <f t="shared" ca="1" si="2"/>
        <v>1927</v>
      </c>
      <c r="AI3" s="88">
        <f t="shared" ca="1" si="2"/>
        <v>2023</v>
      </c>
      <c r="AJ3" s="88">
        <f t="shared" ca="1" si="2"/>
        <v>2078</v>
      </c>
      <c r="AK3" s="88">
        <f t="shared" ca="1" si="2"/>
        <v>2642</v>
      </c>
      <c r="AL3" s="88">
        <f t="shared" ca="1" si="2"/>
        <v>2958</v>
      </c>
      <c r="AM3" s="88">
        <f t="shared" ca="1" si="2"/>
        <v>2958</v>
      </c>
    </row>
    <row r="4" spans="1:45" ht="14.25" customHeight="1" thickBot="1" x14ac:dyDescent="0.3">
      <c r="B4" s="62" t="s">
        <v>87</v>
      </c>
      <c r="M4" s="87"/>
      <c r="AN4" s="88"/>
      <c r="AO4" s="88">
        <f t="shared" ref="AO4:AS4" si="3">AC6</f>
        <v>0</v>
      </c>
      <c r="AP4" s="88">
        <f t="shared" si="3"/>
        <v>0</v>
      </c>
      <c r="AQ4" s="88">
        <f t="shared" si="3"/>
        <v>0</v>
      </c>
      <c r="AR4" s="88">
        <f t="shared" si="3"/>
        <v>0</v>
      </c>
      <c r="AS4" s="88">
        <f t="shared" si="3"/>
        <v>0</v>
      </c>
    </row>
    <row r="5" spans="1:45" ht="15.75" thickTop="1" x14ac:dyDescent="0.25">
      <c r="B5" s="54" t="s">
        <v>85</v>
      </c>
      <c r="C5" s="55">
        <v>2010</v>
      </c>
      <c r="D5" s="56">
        <f>C5+1</f>
        <v>2011</v>
      </c>
      <c r="E5" s="56">
        <f t="shared" ref="E5:L5" si="4">D5+1</f>
        <v>2012</v>
      </c>
      <c r="F5" s="56">
        <f t="shared" si="4"/>
        <v>2013</v>
      </c>
      <c r="G5" s="56">
        <f t="shared" si="4"/>
        <v>2014</v>
      </c>
      <c r="H5" s="56">
        <f t="shared" si="4"/>
        <v>2015</v>
      </c>
      <c r="I5" s="56">
        <f t="shared" si="4"/>
        <v>2016</v>
      </c>
      <c r="J5" s="56">
        <f t="shared" si="4"/>
        <v>2017</v>
      </c>
      <c r="K5" s="56">
        <f t="shared" si="4"/>
        <v>2018</v>
      </c>
      <c r="L5" s="56">
        <f t="shared" si="4"/>
        <v>2019</v>
      </c>
      <c r="M5" s="56">
        <f>L5+1</f>
        <v>2020</v>
      </c>
      <c r="S5">
        <f>C5</f>
        <v>2010</v>
      </c>
      <c r="T5">
        <f t="shared" ref="T5:AC5" si="5">D5</f>
        <v>2011</v>
      </c>
      <c r="U5">
        <f t="shared" si="5"/>
        <v>2012</v>
      </c>
      <c r="V5">
        <f t="shared" si="5"/>
        <v>2013</v>
      </c>
      <c r="W5">
        <f t="shared" si="5"/>
        <v>2014</v>
      </c>
      <c r="X5">
        <f t="shared" si="5"/>
        <v>2015</v>
      </c>
      <c r="Y5">
        <f t="shared" si="5"/>
        <v>2016</v>
      </c>
      <c r="Z5">
        <f t="shared" si="5"/>
        <v>2017</v>
      </c>
      <c r="AA5">
        <f t="shared" si="5"/>
        <v>2018</v>
      </c>
      <c r="AB5">
        <f t="shared" si="5"/>
        <v>2019</v>
      </c>
      <c r="AC5">
        <f t="shared" si="5"/>
        <v>2020</v>
      </c>
    </row>
    <row r="6" spans="1:45" x14ac:dyDescent="0.25">
      <c r="B6" s="57" t="s">
        <v>86</v>
      </c>
      <c r="C6" s="58">
        <f ca="1">ROUND(OFFSET(INDIRECT($A3&amp;"!D$5"),0,C$1)/8.76*(1+S$6),0)</f>
        <v>615</v>
      </c>
      <c r="D6" s="59">
        <f t="shared" ref="D6:M6" ca="1" si="6">ROUND(OFFSET(INDIRECT($A3&amp;"!D$5"),0,D$1)/8.76*(1+T$6),0)</f>
        <v>672</v>
      </c>
      <c r="E6" s="59">
        <f t="shared" ca="1" si="6"/>
        <v>729</v>
      </c>
      <c r="F6" s="59">
        <f t="shared" ca="1" si="6"/>
        <v>788</v>
      </c>
      <c r="G6" s="59">
        <f t="shared" ca="1" si="6"/>
        <v>851</v>
      </c>
      <c r="H6" s="59">
        <f t="shared" ca="1" si="6"/>
        <v>916</v>
      </c>
      <c r="I6" s="59">
        <f t="shared" ca="1" si="6"/>
        <v>973</v>
      </c>
      <c r="J6" s="59">
        <f t="shared" ca="1" si="6"/>
        <v>1034</v>
      </c>
      <c r="K6" s="59">
        <f t="shared" ca="1" si="6"/>
        <v>1098</v>
      </c>
      <c r="L6" s="59">
        <f t="shared" ca="1" si="6"/>
        <v>1165</v>
      </c>
      <c r="M6" s="59">
        <f t="shared" ca="1" si="6"/>
        <v>1230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</row>
    <row r="7" spans="1:45" x14ac:dyDescent="0.25">
      <c r="B7" s="61" t="s">
        <v>85</v>
      </c>
      <c r="C7" s="55">
        <f>M5+1</f>
        <v>2021</v>
      </c>
      <c r="D7" s="56">
        <f>C7+1</f>
        <v>2022</v>
      </c>
      <c r="E7" s="56">
        <f t="shared" ref="E7:K7" si="7">D7+1</f>
        <v>2023</v>
      </c>
      <c r="F7" s="56">
        <f t="shared" si="7"/>
        <v>2024</v>
      </c>
      <c r="G7" s="56">
        <f t="shared" si="7"/>
        <v>2025</v>
      </c>
      <c r="H7" s="56">
        <f t="shared" si="7"/>
        <v>2026</v>
      </c>
      <c r="I7" s="56">
        <f>H7+1</f>
        <v>2027</v>
      </c>
      <c r="J7" s="56">
        <f t="shared" si="7"/>
        <v>2028</v>
      </c>
      <c r="K7" s="56">
        <f t="shared" si="7"/>
        <v>2029</v>
      </c>
      <c r="L7" s="56">
        <f>K7+1</f>
        <v>2030</v>
      </c>
      <c r="M7" s="56">
        <f>L7+1</f>
        <v>2031</v>
      </c>
      <c r="N7" s="56">
        <v>2040</v>
      </c>
      <c r="O7" s="56">
        <v>2050</v>
      </c>
      <c r="P7" s="56">
        <v>2060</v>
      </c>
      <c r="S7">
        <f>C7</f>
        <v>2021</v>
      </c>
      <c r="T7">
        <f t="shared" ref="T7:AF7" si="8">D7</f>
        <v>2022</v>
      </c>
      <c r="U7">
        <f t="shared" si="8"/>
        <v>2023</v>
      </c>
      <c r="V7">
        <f t="shared" si="8"/>
        <v>2024</v>
      </c>
      <c r="W7">
        <f t="shared" si="8"/>
        <v>2025</v>
      </c>
      <c r="X7">
        <f t="shared" si="8"/>
        <v>2026</v>
      </c>
      <c r="Y7">
        <f t="shared" si="8"/>
        <v>2027</v>
      </c>
      <c r="Z7">
        <f t="shared" si="8"/>
        <v>2028</v>
      </c>
      <c r="AA7">
        <f t="shared" si="8"/>
        <v>2029</v>
      </c>
      <c r="AB7">
        <f t="shared" si="8"/>
        <v>2030</v>
      </c>
      <c r="AC7">
        <f t="shared" si="8"/>
        <v>2031</v>
      </c>
      <c r="AD7">
        <f t="shared" si="8"/>
        <v>2040</v>
      </c>
      <c r="AE7">
        <f t="shared" si="8"/>
        <v>2050</v>
      </c>
      <c r="AF7">
        <f t="shared" si="8"/>
        <v>2060</v>
      </c>
    </row>
    <row r="8" spans="1:45" x14ac:dyDescent="0.25">
      <c r="B8" s="57" t="s">
        <v>86</v>
      </c>
      <c r="C8" s="89">
        <f ca="1">ROUND(OFFSET(INDIRECT($A3&amp;"!P$5"),0,C$1-1)/8.76*(1+S$8),0)</f>
        <v>1297</v>
      </c>
      <c r="D8" s="90">
        <f t="shared" ref="D8:P8" ca="1" si="9">ROUND(OFFSET(INDIRECT($A3&amp;"!P$5"),0,D$1-1)/8.76*(1+T$8),0)</f>
        <v>1366</v>
      </c>
      <c r="E8" s="90">
        <f t="shared" ca="1" si="9"/>
        <v>1437</v>
      </c>
      <c r="F8" s="90">
        <f t="shared" ca="1" si="9"/>
        <v>1511</v>
      </c>
      <c r="G8" s="90">
        <f t="shared" ca="1" si="9"/>
        <v>1586</v>
      </c>
      <c r="H8" s="90">
        <f t="shared" ca="1" si="9"/>
        <v>1665</v>
      </c>
      <c r="I8" s="90">
        <f t="shared" ca="1" si="9"/>
        <v>1748</v>
      </c>
      <c r="J8" s="90">
        <f t="shared" ca="1" si="9"/>
        <v>1836</v>
      </c>
      <c r="K8" s="90">
        <f t="shared" ca="1" si="9"/>
        <v>1927</v>
      </c>
      <c r="L8" s="90">
        <f t="shared" ca="1" si="9"/>
        <v>2023</v>
      </c>
      <c r="M8" s="90">
        <f t="shared" ca="1" si="9"/>
        <v>2078</v>
      </c>
      <c r="N8" s="90">
        <f t="shared" ca="1" si="9"/>
        <v>2642</v>
      </c>
      <c r="O8" s="90">
        <f t="shared" ca="1" si="9"/>
        <v>2958</v>
      </c>
      <c r="P8" s="59">
        <f t="shared" ca="1" si="9"/>
        <v>2958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0</v>
      </c>
      <c r="AE8" s="91">
        <v>0</v>
      </c>
      <c r="AF8" s="91">
        <v>0</v>
      </c>
    </row>
    <row r="9" spans="1:45" x14ac:dyDescent="0.25">
      <c r="C9" s="88"/>
      <c r="D9" s="88"/>
    </row>
    <row r="10" spans="1:45" x14ac:dyDescent="0.25">
      <c r="A10" t="s">
        <v>98</v>
      </c>
      <c r="B10" s="63" t="str">
        <f>VLOOKUP(A10,$A$88:$B$99,2,FALSE)</f>
        <v>Botswana</v>
      </c>
      <c r="N10" t="str">
        <f ca="1">O10&amp;" "&amp;P10&amp;" "&amp;Q10&amp;" "&amp;R10&amp;" "&amp;S10&amp;" "&amp;T10&amp;" "&amp;U10&amp;" "&amp;V10&amp;" "&amp;W10&amp;" "&amp;X10&amp;" "&amp;Y10&amp;" "&amp;Z10&amp;" "&amp;AA10&amp;" "&amp;AB10&amp;" "&amp;AC10&amp;" "&amp;AD10&amp;" "&amp;AE10&amp;" "&amp;AF10&amp;" "&amp;AG10&amp;" "&amp;AH10&amp;" "&amp;AI10&amp;" "&amp;AJ10&amp;" "&amp;AK10&amp;" "&amp;AL10&amp;" "&amp;AM10</f>
        <v>408 441 452 479 502 514 525 574 606 654 664 674 684 693 703 712 721 730 740 749 759 764 812 833 833</v>
      </c>
      <c r="O10" s="88">
        <f t="shared" ref="O10:Y10" ca="1" si="10">C13</f>
        <v>408</v>
      </c>
      <c r="P10" s="88">
        <f t="shared" ca="1" si="10"/>
        <v>441</v>
      </c>
      <c r="Q10" s="88">
        <f t="shared" ca="1" si="10"/>
        <v>452</v>
      </c>
      <c r="R10" s="88">
        <f t="shared" ca="1" si="10"/>
        <v>479</v>
      </c>
      <c r="S10" s="88">
        <f t="shared" ca="1" si="10"/>
        <v>502</v>
      </c>
      <c r="T10" s="88">
        <f t="shared" ca="1" si="10"/>
        <v>514</v>
      </c>
      <c r="U10" s="88">
        <f t="shared" ca="1" si="10"/>
        <v>525</v>
      </c>
      <c r="V10" s="88">
        <f t="shared" ca="1" si="10"/>
        <v>574</v>
      </c>
      <c r="W10" s="88">
        <f t="shared" ca="1" si="10"/>
        <v>606</v>
      </c>
      <c r="X10" s="88">
        <f t="shared" ca="1" si="10"/>
        <v>654</v>
      </c>
      <c r="Y10" s="88">
        <f t="shared" ca="1" si="10"/>
        <v>664</v>
      </c>
      <c r="Z10" s="88">
        <f t="shared" ref="Z10:AM10" ca="1" si="11">C15</f>
        <v>674</v>
      </c>
      <c r="AA10" s="88">
        <f t="shared" ca="1" si="11"/>
        <v>684</v>
      </c>
      <c r="AB10" s="88">
        <f t="shared" ca="1" si="11"/>
        <v>693</v>
      </c>
      <c r="AC10" s="88">
        <f t="shared" ca="1" si="11"/>
        <v>703</v>
      </c>
      <c r="AD10" s="88">
        <f t="shared" ca="1" si="11"/>
        <v>712</v>
      </c>
      <c r="AE10" s="88">
        <f t="shared" ca="1" si="11"/>
        <v>721</v>
      </c>
      <c r="AF10" s="88">
        <f t="shared" ca="1" si="11"/>
        <v>730</v>
      </c>
      <c r="AG10" s="88">
        <f t="shared" ca="1" si="11"/>
        <v>740</v>
      </c>
      <c r="AH10" s="88">
        <f t="shared" ca="1" si="11"/>
        <v>749</v>
      </c>
      <c r="AI10" s="88">
        <f t="shared" ca="1" si="11"/>
        <v>759</v>
      </c>
      <c r="AJ10" s="88">
        <f t="shared" ca="1" si="11"/>
        <v>764</v>
      </c>
      <c r="AK10" s="88">
        <f t="shared" ca="1" si="11"/>
        <v>812</v>
      </c>
      <c r="AL10" s="88">
        <f t="shared" ca="1" si="11"/>
        <v>833</v>
      </c>
      <c r="AM10" s="88">
        <f t="shared" ca="1" si="11"/>
        <v>833</v>
      </c>
    </row>
    <row r="11" spans="1:45" ht="15.75" thickBot="1" x14ac:dyDescent="0.3">
      <c r="B11" s="62" t="s">
        <v>87</v>
      </c>
      <c r="M11" s="87"/>
    </row>
    <row r="12" spans="1:45" ht="15.75" thickTop="1" x14ac:dyDescent="0.25">
      <c r="B12" s="54" t="s">
        <v>85</v>
      </c>
      <c r="C12" s="55">
        <v>2010</v>
      </c>
      <c r="D12" s="56">
        <f>C12+1</f>
        <v>2011</v>
      </c>
      <c r="E12" s="56">
        <f t="shared" ref="E12" si="12">D12+1</f>
        <v>2012</v>
      </c>
      <c r="F12" s="56">
        <f t="shared" ref="F12" si="13">E12+1</f>
        <v>2013</v>
      </c>
      <c r="G12" s="56">
        <f t="shared" ref="G12" si="14">F12+1</f>
        <v>2014</v>
      </c>
      <c r="H12" s="56">
        <f t="shared" ref="H12" si="15">G12+1</f>
        <v>2015</v>
      </c>
      <c r="I12" s="56">
        <f t="shared" ref="I12" si="16">H12+1</f>
        <v>2016</v>
      </c>
      <c r="J12" s="56">
        <f t="shared" ref="J12" si="17">I12+1</f>
        <v>2017</v>
      </c>
      <c r="K12" s="56">
        <f t="shared" ref="K12" si="18">J12+1</f>
        <v>2018</v>
      </c>
      <c r="L12" s="56">
        <f t="shared" ref="L12" si="19">K12+1</f>
        <v>2019</v>
      </c>
      <c r="M12" s="56">
        <f>L12+1</f>
        <v>2020</v>
      </c>
      <c r="S12">
        <v>0</v>
      </c>
      <c r="T12">
        <v>0</v>
      </c>
      <c r="U12">
        <v>0</v>
      </c>
      <c r="V12">
        <v>0</v>
      </c>
      <c r="W12">
        <v>0</v>
      </c>
      <c r="X12">
        <v>-0.01</v>
      </c>
      <c r="Y12">
        <v>-0.01</v>
      </c>
      <c r="Z12">
        <v>-0.02</v>
      </c>
      <c r="AA12">
        <v>-0.03</v>
      </c>
      <c r="AB12">
        <v>-0.04</v>
      </c>
      <c r="AC12">
        <v>-0.05</v>
      </c>
    </row>
    <row r="13" spans="1:45" x14ac:dyDescent="0.25">
      <c r="B13" s="57" t="s">
        <v>86</v>
      </c>
      <c r="C13" s="58">
        <f ca="1">ROUND(OFFSET(INDIRECT($A10&amp;"!D$5"),0,C$1)/8.76*(1+S$6),0)</f>
        <v>408</v>
      </c>
      <c r="D13" s="59">
        <f t="shared" ref="D13" ca="1" si="20">ROUND(OFFSET(INDIRECT($A10&amp;"!D$5"),0,D$1)/8.76*(1+T$6),0)</f>
        <v>441</v>
      </c>
      <c r="E13" s="59">
        <f t="shared" ref="E13" ca="1" si="21">ROUND(OFFSET(INDIRECT($A10&amp;"!D$5"),0,E$1)/8.76*(1+U$6),0)</f>
        <v>452</v>
      </c>
      <c r="F13" s="59">
        <f t="shared" ref="F13" ca="1" si="22">ROUND(OFFSET(INDIRECT($A10&amp;"!D$5"),0,F$1)/8.76*(1+V$6),0)</f>
        <v>479</v>
      </c>
      <c r="G13" s="59">
        <f t="shared" ref="G13" ca="1" si="23">ROUND(OFFSET(INDIRECT($A10&amp;"!D$5"),0,G$1)/8.76*(1+W$6),0)</f>
        <v>502</v>
      </c>
      <c r="H13" s="59">
        <f t="shared" ref="H13" ca="1" si="24">ROUND(OFFSET(INDIRECT($A10&amp;"!D$5"),0,H$1)/8.76*(1+X$6),0)</f>
        <v>514</v>
      </c>
      <c r="I13" s="59">
        <f t="shared" ref="I13" ca="1" si="25">ROUND(OFFSET(INDIRECT($A10&amp;"!D$5"),0,I$1)/8.76*(1+Y$6),0)</f>
        <v>525</v>
      </c>
      <c r="J13" s="59">
        <f t="shared" ref="J13" ca="1" si="26">ROUND(OFFSET(INDIRECT($A10&amp;"!D$5"),0,J$1)/8.76*(1+Z$6),0)</f>
        <v>574</v>
      </c>
      <c r="K13" s="59">
        <f t="shared" ref="K13" ca="1" si="27">ROUND(OFFSET(INDIRECT($A10&amp;"!D$5"),0,K$1)/8.76*(1+AA$6),0)</f>
        <v>606</v>
      </c>
      <c r="L13" s="59">
        <f t="shared" ref="L13" ca="1" si="28">ROUND(OFFSET(INDIRECT($A10&amp;"!D$5"),0,L$1)/8.76*(1+AB$6),0)</f>
        <v>654</v>
      </c>
      <c r="M13" s="59">
        <f t="shared" ref="M13" ca="1" si="29">ROUND(OFFSET(INDIRECT($A10&amp;"!D$5"),0,M$1)/8.76*(1+AC$6),0)</f>
        <v>664</v>
      </c>
      <c r="S13">
        <v>-0.06</v>
      </c>
      <c r="T13">
        <v>-7.0000000000000007E-2</v>
      </c>
      <c r="U13">
        <v>-0.08</v>
      </c>
      <c r="V13">
        <v>-0.09</v>
      </c>
      <c r="W13">
        <v>-0.1</v>
      </c>
      <c r="X13">
        <v>-0.11</v>
      </c>
      <c r="Y13">
        <v>-0.12</v>
      </c>
      <c r="Z13">
        <v>-0.13</v>
      </c>
      <c r="AA13">
        <v>-0.14000000000000001</v>
      </c>
      <c r="AB13">
        <v>-0.15</v>
      </c>
      <c r="AC13">
        <v>-0.16</v>
      </c>
      <c r="AD13">
        <v>-0.22500000000000001</v>
      </c>
      <c r="AE13">
        <v>-0.3</v>
      </c>
      <c r="AF13">
        <v>-0.3</v>
      </c>
    </row>
    <row r="14" spans="1:45" x14ac:dyDescent="0.25">
      <c r="B14" s="61" t="s">
        <v>85</v>
      </c>
      <c r="C14" s="55">
        <f>M12+1</f>
        <v>2021</v>
      </c>
      <c r="D14" s="56">
        <f>C14+1</f>
        <v>2022</v>
      </c>
      <c r="E14" s="56">
        <f t="shared" ref="E14" si="30">D14+1</f>
        <v>2023</v>
      </c>
      <c r="F14" s="56">
        <f t="shared" ref="F14" si="31">E14+1</f>
        <v>2024</v>
      </c>
      <c r="G14" s="56">
        <f t="shared" ref="G14" si="32">F14+1</f>
        <v>2025</v>
      </c>
      <c r="H14" s="56">
        <f t="shared" ref="H14" si="33">G14+1</f>
        <v>2026</v>
      </c>
      <c r="I14" s="56">
        <f>H14+1</f>
        <v>2027</v>
      </c>
      <c r="J14" s="56">
        <f t="shared" ref="J14" si="34">I14+1</f>
        <v>2028</v>
      </c>
      <c r="K14" s="56">
        <f t="shared" ref="K14" si="35">J14+1</f>
        <v>2029</v>
      </c>
      <c r="L14" s="56">
        <f>K14+1</f>
        <v>2030</v>
      </c>
      <c r="M14" s="56">
        <f>L14+1</f>
        <v>2031</v>
      </c>
      <c r="N14" s="56">
        <v>2040</v>
      </c>
      <c r="O14" s="56">
        <v>2050</v>
      </c>
      <c r="P14" s="56">
        <v>2060</v>
      </c>
    </row>
    <row r="15" spans="1:45" x14ac:dyDescent="0.25">
      <c r="B15" s="57" t="s">
        <v>86</v>
      </c>
      <c r="C15" s="89">
        <f ca="1">ROUND(OFFSET(INDIRECT($A10&amp;"!P$5"),0,C$1-1)/8.76*(1+S$8),0)</f>
        <v>674</v>
      </c>
      <c r="D15" s="90">
        <f t="shared" ref="D15" ca="1" si="36">ROUND(OFFSET(INDIRECT($A10&amp;"!P$5"),0,D$1-1)/8.76*(1+T$8),0)</f>
        <v>684</v>
      </c>
      <c r="E15" s="90">
        <f t="shared" ref="E15" ca="1" si="37">ROUND(OFFSET(INDIRECT($A10&amp;"!P$5"),0,E$1-1)/8.76*(1+U$8),0)</f>
        <v>693</v>
      </c>
      <c r="F15" s="90">
        <f t="shared" ref="F15" ca="1" si="38">ROUND(OFFSET(INDIRECT($A10&amp;"!P$5"),0,F$1-1)/8.76*(1+V$8),0)</f>
        <v>703</v>
      </c>
      <c r="G15" s="90">
        <f t="shared" ref="G15" ca="1" si="39">ROUND(OFFSET(INDIRECT($A10&amp;"!P$5"),0,G$1-1)/8.76*(1+W$8),0)</f>
        <v>712</v>
      </c>
      <c r="H15" s="90">
        <f t="shared" ref="H15" ca="1" si="40">ROUND(OFFSET(INDIRECT($A10&amp;"!P$5"),0,H$1-1)/8.76*(1+X$8),0)</f>
        <v>721</v>
      </c>
      <c r="I15" s="90">
        <f t="shared" ref="I15" ca="1" si="41">ROUND(OFFSET(INDIRECT($A10&amp;"!P$5"),0,I$1-1)/8.76*(1+Y$8),0)</f>
        <v>730</v>
      </c>
      <c r="J15" s="90">
        <f t="shared" ref="J15" ca="1" si="42">ROUND(OFFSET(INDIRECT($A10&amp;"!P$5"),0,J$1-1)/8.76*(1+Z$8),0)</f>
        <v>740</v>
      </c>
      <c r="K15" s="90">
        <f t="shared" ref="K15" ca="1" si="43">ROUND(OFFSET(INDIRECT($A10&amp;"!P$5"),0,K$1-1)/8.76*(1+AA$8),0)</f>
        <v>749</v>
      </c>
      <c r="L15" s="90">
        <f t="shared" ref="L15" ca="1" si="44">ROUND(OFFSET(INDIRECT($A10&amp;"!P$5"),0,L$1-1)/8.76*(1+AB$8),0)</f>
        <v>759</v>
      </c>
      <c r="M15" s="90">
        <f t="shared" ref="M15" ca="1" si="45">ROUND(OFFSET(INDIRECT($A10&amp;"!P$5"),0,M$1-1)/8.76*(1+AC$8),0)</f>
        <v>764</v>
      </c>
      <c r="N15" s="90">
        <f t="shared" ref="N15" ca="1" si="46">ROUND(OFFSET(INDIRECT($A10&amp;"!P$5"),0,N$1-1)/8.76*(1+AD$8),0)</f>
        <v>812</v>
      </c>
      <c r="O15" s="90">
        <f t="shared" ref="O15" ca="1" si="47">ROUND(OFFSET(INDIRECT($A10&amp;"!P$5"),0,O$1-1)/8.76*(1+AE$8),0)</f>
        <v>833</v>
      </c>
      <c r="P15" s="59">
        <f t="shared" ref="P15" ca="1" si="48">ROUND(OFFSET(INDIRECT($A10&amp;"!P$5"),0,P$1-1)/8.76*(1+AF$8),0)</f>
        <v>833</v>
      </c>
    </row>
    <row r="17" spans="1:39" ht="25.5" x14ac:dyDescent="0.25">
      <c r="A17" t="s">
        <v>32</v>
      </c>
      <c r="B17" s="63" t="str">
        <f>VLOOKUP(A17,$A$88:$B$99,2,FALSE)</f>
        <v>Democratic Republic of Congo</v>
      </c>
      <c r="N17" t="str">
        <f ca="1">O17&amp;" "&amp;P17&amp;" "&amp;Q17&amp;" "&amp;R17&amp;" "&amp;S17&amp;" "&amp;T17&amp;" "&amp;U17&amp;" "&amp;V17&amp;" "&amp;W17&amp;" "&amp;X17&amp;" "&amp;Y17&amp;" "&amp;Z17&amp;" "&amp;AA17&amp;" "&amp;AB17&amp;" "&amp;AC17&amp;" "&amp;AD17&amp;" "&amp;AE17&amp;" "&amp;AF17&amp;" "&amp;AG17&amp;" "&amp;AH17&amp;" "&amp;AI17&amp;" "&amp;AJ17&amp;" "&amp;AK17&amp;" "&amp;AL17&amp;" "&amp;AM17</f>
        <v>911 949 989 1030 1073 1117 1159 1207 1258 1310 1344 1394 1452 1513 1576 1641 1710 1781 1855 1932 2013 2073 2710 2800 2800</v>
      </c>
      <c r="O17" s="88">
        <f t="shared" ref="O17:Y17" ca="1" si="49">C20</f>
        <v>911</v>
      </c>
      <c r="P17" s="88">
        <f t="shared" ca="1" si="49"/>
        <v>949</v>
      </c>
      <c r="Q17" s="88">
        <f t="shared" ca="1" si="49"/>
        <v>989</v>
      </c>
      <c r="R17" s="88">
        <f t="shared" ca="1" si="49"/>
        <v>1030</v>
      </c>
      <c r="S17" s="88">
        <f t="shared" ca="1" si="49"/>
        <v>1073</v>
      </c>
      <c r="T17" s="88">
        <f t="shared" ca="1" si="49"/>
        <v>1117</v>
      </c>
      <c r="U17" s="88">
        <f t="shared" ca="1" si="49"/>
        <v>1159</v>
      </c>
      <c r="V17" s="88">
        <f t="shared" ca="1" si="49"/>
        <v>1207</v>
      </c>
      <c r="W17" s="88">
        <f t="shared" ca="1" si="49"/>
        <v>1258</v>
      </c>
      <c r="X17" s="88">
        <f t="shared" ca="1" si="49"/>
        <v>1310</v>
      </c>
      <c r="Y17" s="88">
        <f t="shared" ca="1" si="49"/>
        <v>1344</v>
      </c>
      <c r="Z17" s="88">
        <f t="shared" ref="Z17:AM17" ca="1" si="50">C22</f>
        <v>1394</v>
      </c>
      <c r="AA17" s="88">
        <f t="shared" ca="1" si="50"/>
        <v>1452</v>
      </c>
      <c r="AB17" s="88">
        <f t="shared" ca="1" si="50"/>
        <v>1513</v>
      </c>
      <c r="AC17" s="88">
        <f t="shared" ca="1" si="50"/>
        <v>1576</v>
      </c>
      <c r="AD17" s="88">
        <f t="shared" ca="1" si="50"/>
        <v>1641</v>
      </c>
      <c r="AE17" s="88">
        <f t="shared" ca="1" si="50"/>
        <v>1710</v>
      </c>
      <c r="AF17" s="88">
        <f t="shared" ca="1" si="50"/>
        <v>1781</v>
      </c>
      <c r="AG17" s="88">
        <f t="shared" ca="1" si="50"/>
        <v>1855</v>
      </c>
      <c r="AH17" s="88">
        <f t="shared" ca="1" si="50"/>
        <v>1932</v>
      </c>
      <c r="AI17" s="88">
        <f t="shared" ca="1" si="50"/>
        <v>2013</v>
      </c>
      <c r="AJ17" s="88">
        <f t="shared" ca="1" si="50"/>
        <v>2073</v>
      </c>
      <c r="AK17" s="88">
        <f t="shared" ca="1" si="50"/>
        <v>2710</v>
      </c>
      <c r="AL17" s="88">
        <f t="shared" ca="1" si="50"/>
        <v>2800</v>
      </c>
      <c r="AM17" s="88">
        <f t="shared" ca="1" si="50"/>
        <v>2800</v>
      </c>
    </row>
    <row r="18" spans="1:39" ht="15.75" thickBot="1" x14ac:dyDescent="0.3">
      <c r="B18" s="62" t="s">
        <v>87</v>
      </c>
      <c r="M18" s="87"/>
    </row>
    <row r="19" spans="1:39" ht="15.75" thickTop="1" x14ac:dyDescent="0.25">
      <c r="B19" s="54" t="s">
        <v>85</v>
      </c>
      <c r="C19" s="55">
        <v>2010</v>
      </c>
      <c r="D19" s="56">
        <f>C19+1</f>
        <v>2011</v>
      </c>
      <c r="E19" s="56">
        <f t="shared" ref="E19" si="51">D19+1</f>
        <v>2012</v>
      </c>
      <c r="F19" s="56">
        <f t="shared" ref="F19" si="52">E19+1</f>
        <v>2013</v>
      </c>
      <c r="G19" s="56">
        <f t="shared" ref="G19" si="53">F19+1</f>
        <v>2014</v>
      </c>
      <c r="H19" s="56">
        <f t="shared" ref="H19" si="54">G19+1</f>
        <v>2015</v>
      </c>
      <c r="I19" s="56">
        <f t="shared" ref="I19" si="55">H19+1</f>
        <v>2016</v>
      </c>
      <c r="J19" s="56">
        <f t="shared" ref="J19" si="56">I19+1</f>
        <v>2017</v>
      </c>
      <c r="K19" s="56">
        <f t="shared" ref="K19" si="57">J19+1</f>
        <v>2018</v>
      </c>
      <c r="L19" s="56">
        <f t="shared" ref="L19" si="58">K19+1</f>
        <v>2019</v>
      </c>
      <c r="M19" s="56">
        <f>L19+1</f>
        <v>2020</v>
      </c>
    </row>
    <row r="20" spans="1:39" x14ac:dyDescent="0.25">
      <c r="B20" s="57" t="s">
        <v>86</v>
      </c>
      <c r="C20" s="58">
        <f ca="1">ROUND(OFFSET(INDIRECT($A17&amp;"!D$5"),0,C$1)/8.76*(1+S$6),0)</f>
        <v>911</v>
      </c>
      <c r="D20" s="59">
        <f t="shared" ref="D20" ca="1" si="59">ROUND(OFFSET(INDIRECT($A17&amp;"!D$5"),0,D$1)/8.76*(1+T$6),0)</f>
        <v>949</v>
      </c>
      <c r="E20" s="59">
        <f t="shared" ref="E20" ca="1" si="60">ROUND(OFFSET(INDIRECT($A17&amp;"!D$5"),0,E$1)/8.76*(1+U$6),0)</f>
        <v>989</v>
      </c>
      <c r="F20" s="59">
        <f t="shared" ref="F20" ca="1" si="61">ROUND(OFFSET(INDIRECT($A17&amp;"!D$5"),0,F$1)/8.76*(1+V$6),0)</f>
        <v>1030</v>
      </c>
      <c r="G20" s="59">
        <f t="shared" ref="G20" ca="1" si="62">ROUND(OFFSET(INDIRECT($A17&amp;"!D$5"),0,G$1)/8.76*(1+W$6),0)</f>
        <v>1073</v>
      </c>
      <c r="H20" s="59">
        <f t="shared" ref="H20" ca="1" si="63">ROUND(OFFSET(INDIRECT($A17&amp;"!D$5"),0,H$1)/8.76*(1+X$6),0)</f>
        <v>1117</v>
      </c>
      <c r="I20" s="59">
        <f t="shared" ref="I20" ca="1" si="64">ROUND(OFFSET(INDIRECT($A17&amp;"!D$5"),0,I$1)/8.76*(1+Y$6),0)</f>
        <v>1159</v>
      </c>
      <c r="J20" s="59">
        <f t="shared" ref="J20" ca="1" si="65">ROUND(OFFSET(INDIRECT($A17&amp;"!D$5"),0,J$1)/8.76*(1+Z$6),0)</f>
        <v>1207</v>
      </c>
      <c r="K20" s="59">
        <f t="shared" ref="K20" ca="1" si="66">ROUND(OFFSET(INDIRECT($A17&amp;"!D$5"),0,K$1)/8.76*(1+AA$6),0)</f>
        <v>1258</v>
      </c>
      <c r="L20" s="59">
        <f t="shared" ref="L20" ca="1" si="67">ROUND(OFFSET(INDIRECT($A17&amp;"!D$5"),0,L$1)/8.76*(1+AB$6),0)</f>
        <v>1310</v>
      </c>
      <c r="M20" s="59">
        <f t="shared" ref="M20" ca="1" si="68">ROUND(OFFSET(INDIRECT($A17&amp;"!D$5"),0,M$1)/8.76*(1+AC$6),0)</f>
        <v>1344</v>
      </c>
    </row>
    <row r="21" spans="1:39" x14ac:dyDescent="0.25">
      <c r="B21" s="61" t="s">
        <v>85</v>
      </c>
      <c r="C21" s="55">
        <f>M19+1</f>
        <v>2021</v>
      </c>
      <c r="D21" s="56">
        <f>C21+1</f>
        <v>2022</v>
      </c>
      <c r="E21" s="56">
        <f t="shared" ref="E21" si="69">D21+1</f>
        <v>2023</v>
      </c>
      <c r="F21" s="56">
        <f t="shared" ref="F21" si="70">E21+1</f>
        <v>2024</v>
      </c>
      <c r="G21" s="56">
        <f t="shared" ref="G21" si="71">F21+1</f>
        <v>2025</v>
      </c>
      <c r="H21" s="56">
        <f t="shared" ref="H21" si="72">G21+1</f>
        <v>2026</v>
      </c>
      <c r="I21" s="56">
        <f>H21+1</f>
        <v>2027</v>
      </c>
      <c r="J21" s="56">
        <f t="shared" ref="J21" si="73">I21+1</f>
        <v>2028</v>
      </c>
      <c r="K21" s="56">
        <f t="shared" ref="K21" si="74">J21+1</f>
        <v>2029</v>
      </c>
      <c r="L21" s="56">
        <f>K21+1</f>
        <v>2030</v>
      </c>
      <c r="M21" s="56">
        <f>L21+1</f>
        <v>2031</v>
      </c>
      <c r="N21" s="56">
        <v>2040</v>
      </c>
      <c r="O21" s="56">
        <v>2050</v>
      </c>
      <c r="P21" s="56">
        <v>2060</v>
      </c>
    </row>
    <row r="22" spans="1:39" x14ac:dyDescent="0.25">
      <c r="B22" s="57" t="s">
        <v>86</v>
      </c>
      <c r="C22" s="89">
        <f ca="1">ROUND(OFFSET(INDIRECT($A17&amp;"!P$5"),0,C$1-1)/8.76*(1+S$8),0)</f>
        <v>1394</v>
      </c>
      <c r="D22" s="90">
        <f t="shared" ref="D22" ca="1" si="75">ROUND(OFFSET(INDIRECT($A17&amp;"!P$5"),0,D$1-1)/8.76*(1+T$8),0)</f>
        <v>1452</v>
      </c>
      <c r="E22" s="90">
        <f t="shared" ref="E22" ca="1" si="76">ROUND(OFFSET(INDIRECT($A17&amp;"!P$5"),0,E$1-1)/8.76*(1+U$8),0)</f>
        <v>1513</v>
      </c>
      <c r="F22" s="90">
        <f t="shared" ref="F22" ca="1" si="77">ROUND(OFFSET(INDIRECT($A17&amp;"!P$5"),0,F$1-1)/8.76*(1+V$8),0)</f>
        <v>1576</v>
      </c>
      <c r="G22" s="90">
        <f t="shared" ref="G22" ca="1" si="78">ROUND(OFFSET(INDIRECT($A17&amp;"!P$5"),0,G$1-1)/8.76*(1+W$8),0)</f>
        <v>1641</v>
      </c>
      <c r="H22" s="90">
        <f t="shared" ref="H22" ca="1" si="79">ROUND(OFFSET(INDIRECT($A17&amp;"!P$5"),0,H$1-1)/8.76*(1+X$8),0)</f>
        <v>1710</v>
      </c>
      <c r="I22" s="90">
        <f t="shared" ref="I22" ca="1" si="80">ROUND(OFFSET(INDIRECT($A17&amp;"!P$5"),0,I$1-1)/8.76*(1+Y$8),0)</f>
        <v>1781</v>
      </c>
      <c r="J22" s="90">
        <f t="shared" ref="J22" ca="1" si="81">ROUND(OFFSET(INDIRECT($A17&amp;"!P$5"),0,J$1-1)/8.76*(1+Z$8),0)</f>
        <v>1855</v>
      </c>
      <c r="K22" s="90">
        <f t="shared" ref="K22" ca="1" si="82">ROUND(OFFSET(INDIRECT($A17&amp;"!P$5"),0,K$1-1)/8.76*(1+AA$8),0)</f>
        <v>1932</v>
      </c>
      <c r="L22" s="90">
        <f t="shared" ref="L22" ca="1" si="83">ROUND(OFFSET(INDIRECT($A17&amp;"!P$5"),0,L$1-1)/8.76*(1+AB$8),0)</f>
        <v>2013</v>
      </c>
      <c r="M22" s="90">
        <f t="shared" ref="M22" ca="1" si="84">ROUND(OFFSET(INDIRECT($A17&amp;"!P$5"),0,M$1-1)/8.76*(1+AC$8),0)</f>
        <v>2073</v>
      </c>
      <c r="N22" s="90">
        <f t="shared" ref="N22" ca="1" si="85">ROUND(OFFSET(INDIRECT($A17&amp;"!P$5"),0,N$1-1)/8.76*(1+AD$8),0)</f>
        <v>2710</v>
      </c>
      <c r="O22" s="90">
        <f t="shared" ref="O22" ca="1" si="86">ROUND(OFFSET(INDIRECT($A17&amp;"!P$5"),0,O$1-1)/8.76*(1+AE$8),0)</f>
        <v>2800</v>
      </c>
      <c r="P22" s="59">
        <f t="shared" ref="P22" ca="1" si="87">ROUND(OFFSET(INDIRECT($A17&amp;"!P$5"),0,P$1-1)/8.76*(1+AF$8),0)</f>
        <v>2800</v>
      </c>
    </row>
    <row r="24" spans="1:39" x14ac:dyDescent="0.25">
      <c r="A24" t="s">
        <v>99</v>
      </c>
      <c r="B24" s="63" t="str">
        <f>VLOOKUP(A24,$A$88:$B$99,2,FALSE)</f>
        <v>Lesotho</v>
      </c>
      <c r="N24" t="str">
        <f ca="1">O24&amp;" "&amp;P24&amp;" "&amp;Q24&amp;" "&amp;R24&amp;" "&amp;S24&amp;" "&amp;T24&amp;" "&amp;U24&amp;" "&amp;V24&amp;" "&amp;W24&amp;" "&amp;X24&amp;" "&amp;Y24&amp;" "&amp;Z24&amp;" "&amp;AA24&amp;" "&amp;AB24&amp;" "&amp;AC24&amp;" "&amp;AD24&amp;" "&amp;AE24&amp;" "&amp;AF24&amp;" "&amp;AG24&amp;" "&amp;AH24&amp;" "&amp;AI24&amp;" "&amp;AJ24&amp;" "&amp;AK24&amp;" "&amp;AL24&amp;" "&amp;AM24</f>
        <v>56 58 61 63 66 69 71 74 77 81 84 88 91 95 99 103 107 112 117 122 127 132 196 306 306</v>
      </c>
      <c r="O24" s="88">
        <f t="shared" ref="O24:Y24" ca="1" si="88">C27</f>
        <v>56</v>
      </c>
      <c r="P24" s="88">
        <f t="shared" ca="1" si="88"/>
        <v>58</v>
      </c>
      <c r="Q24" s="88">
        <f t="shared" ca="1" si="88"/>
        <v>61</v>
      </c>
      <c r="R24" s="88">
        <f t="shared" ca="1" si="88"/>
        <v>63</v>
      </c>
      <c r="S24" s="88">
        <f t="shared" ca="1" si="88"/>
        <v>66</v>
      </c>
      <c r="T24" s="88">
        <f t="shared" ca="1" si="88"/>
        <v>69</v>
      </c>
      <c r="U24" s="88">
        <f t="shared" ca="1" si="88"/>
        <v>71</v>
      </c>
      <c r="V24" s="88">
        <f t="shared" ca="1" si="88"/>
        <v>74</v>
      </c>
      <c r="W24" s="88">
        <f t="shared" ca="1" si="88"/>
        <v>77</v>
      </c>
      <c r="X24" s="88">
        <f t="shared" ca="1" si="88"/>
        <v>81</v>
      </c>
      <c r="Y24" s="88">
        <f t="shared" ca="1" si="88"/>
        <v>84</v>
      </c>
      <c r="Z24" s="88">
        <f t="shared" ref="Z24:AM24" ca="1" si="89">C29</f>
        <v>88</v>
      </c>
      <c r="AA24" s="88">
        <f t="shared" ca="1" si="89"/>
        <v>91</v>
      </c>
      <c r="AB24" s="88">
        <f t="shared" ca="1" si="89"/>
        <v>95</v>
      </c>
      <c r="AC24" s="88">
        <f t="shared" ca="1" si="89"/>
        <v>99</v>
      </c>
      <c r="AD24" s="88">
        <f t="shared" ca="1" si="89"/>
        <v>103</v>
      </c>
      <c r="AE24" s="88">
        <f t="shared" ca="1" si="89"/>
        <v>107</v>
      </c>
      <c r="AF24" s="88">
        <f t="shared" ca="1" si="89"/>
        <v>112</v>
      </c>
      <c r="AG24" s="88">
        <f t="shared" ca="1" si="89"/>
        <v>117</v>
      </c>
      <c r="AH24" s="88">
        <f t="shared" ca="1" si="89"/>
        <v>122</v>
      </c>
      <c r="AI24" s="88">
        <f t="shared" ca="1" si="89"/>
        <v>127</v>
      </c>
      <c r="AJ24" s="88">
        <f t="shared" ca="1" si="89"/>
        <v>132</v>
      </c>
      <c r="AK24" s="88">
        <f t="shared" ca="1" si="89"/>
        <v>196</v>
      </c>
      <c r="AL24" s="88">
        <f t="shared" ca="1" si="89"/>
        <v>306</v>
      </c>
      <c r="AM24" s="88">
        <f t="shared" ca="1" si="89"/>
        <v>306</v>
      </c>
    </row>
    <row r="25" spans="1:39" ht="15.75" thickBot="1" x14ac:dyDescent="0.3">
      <c r="B25" s="62" t="s">
        <v>87</v>
      </c>
      <c r="M25" s="87"/>
    </row>
    <row r="26" spans="1:39" ht="15.75" thickTop="1" x14ac:dyDescent="0.25">
      <c r="B26" s="54" t="s">
        <v>85</v>
      </c>
      <c r="C26" s="55">
        <v>2010</v>
      </c>
      <c r="D26" s="56">
        <f>C26+1</f>
        <v>2011</v>
      </c>
      <c r="E26" s="56">
        <f t="shared" ref="E26" si="90">D26+1</f>
        <v>2012</v>
      </c>
      <c r="F26" s="56">
        <f t="shared" ref="F26" si="91">E26+1</f>
        <v>2013</v>
      </c>
      <c r="G26" s="56">
        <f t="shared" ref="G26" si="92">F26+1</f>
        <v>2014</v>
      </c>
      <c r="H26" s="56">
        <f t="shared" ref="H26" si="93">G26+1</f>
        <v>2015</v>
      </c>
      <c r="I26" s="56">
        <f t="shared" ref="I26" si="94">H26+1</f>
        <v>2016</v>
      </c>
      <c r="J26" s="56">
        <f t="shared" ref="J26" si="95">I26+1</f>
        <v>2017</v>
      </c>
      <c r="K26" s="56">
        <f t="shared" ref="K26" si="96">J26+1</f>
        <v>2018</v>
      </c>
      <c r="L26" s="56">
        <f t="shared" ref="L26" si="97">K26+1</f>
        <v>2019</v>
      </c>
      <c r="M26" s="56">
        <f>L26+1</f>
        <v>2020</v>
      </c>
    </row>
    <row r="27" spans="1:39" x14ac:dyDescent="0.25">
      <c r="B27" s="57" t="s">
        <v>86</v>
      </c>
      <c r="C27" s="58">
        <f ca="1">ROUND(OFFSET(INDIRECT($A24&amp;"!D$5"),0,C$1)/8.76*(1+S$6),0)</f>
        <v>56</v>
      </c>
      <c r="D27" s="59">
        <f t="shared" ref="D27" ca="1" si="98">ROUND(OFFSET(INDIRECT($A24&amp;"!D$5"),0,D$1)/8.76*(1+T$6),0)</f>
        <v>58</v>
      </c>
      <c r="E27" s="59">
        <f t="shared" ref="E27" ca="1" si="99">ROUND(OFFSET(INDIRECT($A24&amp;"!D$5"),0,E$1)/8.76*(1+U$6),0)</f>
        <v>61</v>
      </c>
      <c r="F27" s="59">
        <f t="shared" ref="F27" ca="1" si="100">ROUND(OFFSET(INDIRECT($A24&amp;"!D$5"),0,F$1)/8.76*(1+V$6),0)</f>
        <v>63</v>
      </c>
      <c r="G27" s="59">
        <f t="shared" ref="G27" ca="1" si="101">ROUND(OFFSET(INDIRECT($A24&amp;"!D$5"),0,G$1)/8.76*(1+W$6),0)</f>
        <v>66</v>
      </c>
      <c r="H27" s="59">
        <f t="shared" ref="H27" ca="1" si="102">ROUND(OFFSET(INDIRECT($A24&amp;"!D$5"),0,H$1)/8.76*(1+X$6),0)</f>
        <v>69</v>
      </c>
      <c r="I27" s="59">
        <f t="shared" ref="I27" ca="1" si="103">ROUND(OFFSET(INDIRECT($A24&amp;"!D$5"),0,I$1)/8.76*(1+Y$6),0)</f>
        <v>71</v>
      </c>
      <c r="J27" s="59">
        <f t="shared" ref="J27" ca="1" si="104">ROUND(OFFSET(INDIRECT($A24&amp;"!D$5"),0,J$1)/8.76*(1+Z$6),0)</f>
        <v>74</v>
      </c>
      <c r="K27" s="59">
        <f t="shared" ref="K27" ca="1" si="105">ROUND(OFFSET(INDIRECT($A24&amp;"!D$5"),0,K$1)/8.76*(1+AA$6),0)</f>
        <v>77</v>
      </c>
      <c r="L27" s="59">
        <f t="shared" ref="L27" ca="1" si="106">ROUND(OFFSET(INDIRECT($A24&amp;"!D$5"),0,L$1)/8.76*(1+AB$6),0)</f>
        <v>81</v>
      </c>
      <c r="M27" s="59">
        <f t="shared" ref="M27" ca="1" si="107">ROUND(OFFSET(INDIRECT($A24&amp;"!D$5"),0,M$1)/8.76*(1+AC$6),0)</f>
        <v>84</v>
      </c>
    </row>
    <row r="28" spans="1:39" x14ac:dyDescent="0.25">
      <c r="B28" s="61" t="s">
        <v>85</v>
      </c>
      <c r="C28" s="55">
        <f>M26+1</f>
        <v>2021</v>
      </c>
      <c r="D28" s="56">
        <f>C28+1</f>
        <v>2022</v>
      </c>
      <c r="E28" s="56">
        <f t="shared" ref="E28" si="108">D28+1</f>
        <v>2023</v>
      </c>
      <c r="F28" s="56">
        <f t="shared" ref="F28" si="109">E28+1</f>
        <v>2024</v>
      </c>
      <c r="G28" s="56">
        <f t="shared" ref="G28" si="110">F28+1</f>
        <v>2025</v>
      </c>
      <c r="H28" s="56">
        <f t="shared" ref="H28" si="111">G28+1</f>
        <v>2026</v>
      </c>
      <c r="I28" s="56">
        <f>H28+1</f>
        <v>2027</v>
      </c>
      <c r="J28" s="56">
        <f t="shared" ref="J28" si="112">I28+1</f>
        <v>2028</v>
      </c>
      <c r="K28" s="56">
        <f t="shared" ref="K28" si="113">J28+1</f>
        <v>2029</v>
      </c>
      <c r="L28" s="56">
        <f>K28+1</f>
        <v>2030</v>
      </c>
      <c r="M28" s="56">
        <f>L28+1</f>
        <v>2031</v>
      </c>
      <c r="N28" s="56">
        <v>2040</v>
      </c>
      <c r="O28" s="56">
        <v>2050</v>
      </c>
      <c r="P28" s="56">
        <v>2060</v>
      </c>
    </row>
    <row r="29" spans="1:39" x14ac:dyDescent="0.25">
      <c r="B29" s="57" t="s">
        <v>86</v>
      </c>
      <c r="C29" s="89">
        <f ca="1">ROUND(OFFSET(INDIRECT($A24&amp;"!P$5"),0,C$1-1)/8.76*(1+S$8),0)</f>
        <v>88</v>
      </c>
      <c r="D29" s="90">
        <f t="shared" ref="D29" ca="1" si="114">ROUND(OFFSET(INDIRECT($A24&amp;"!P$5"),0,D$1-1)/8.76*(1+T$8),0)</f>
        <v>91</v>
      </c>
      <c r="E29" s="90">
        <f t="shared" ref="E29" ca="1" si="115">ROUND(OFFSET(INDIRECT($A24&amp;"!P$5"),0,E$1-1)/8.76*(1+U$8),0)</f>
        <v>95</v>
      </c>
      <c r="F29" s="90">
        <f t="shared" ref="F29" ca="1" si="116">ROUND(OFFSET(INDIRECT($A24&amp;"!P$5"),0,F$1-1)/8.76*(1+V$8),0)</f>
        <v>99</v>
      </c>
      <c r="G29" s="90">
        <f t="shared" ref="G29" ca="1" si="117">ROUND(OFFSET(INDIRECT($A24&amp;"!P$5"),0,G$1-1)/8.76*(1+W$8),0)</f>
        <v>103</v>
      </c>
      <c r="H29" s="90">
        <f t="shared" ref="H29" ca="1" si="118">ROUND(OFFSET(INDIRECT($A24&amp;"!P$5"),0,H$1-1)/8.76*(1+X$8),0)</f>
        <v>107</v>
      </c>
      <c r="I29" s="90">
        <f t="shared" ref="I29" ca="1" si="119">ROUND(OFFSET(INDIRECT($A24&amp;"!P$5"),0,I$1-1)/8.76*(1+Y$8),0)</f>
        <v>112</v>
      </c>
      <c r="J29" s="90">
        <f t="shared" ref="J29" ca="1" si="120">ROUND(OFFSET(INDIRECT($A24&amp;"!P$5"),0,J$1-1)/8.76*(1+Z$8),0)</f>
        <v>117</v>
      </c>
      <c r="K29" s="90">
        <f t="shared" ref="K29" ca="1" si="121">ROUND(OFFSET(INDIRECT($A24&amp;"!P$5"),0,K$1-1)/8.76*(1+AA$8),0)</f>
        <v>122</v>
      </c>
      <c r="L29" s="90">
        <f t="shared" ref="L29" ca="1" si="122">ROUND(OFFSET(INDIRECT($A24&amp;"!P$5"),0,L$1-1)/8.76*(1+AB$8),0)</f>
        <v>127</v>
      </c>
      <c r="M29" s="90">
        <f t="shared" ref="M29" ca="1" si="123">ROUND(OFFSET(INDIRECT($A24&amp;"!P$5"),0,M$1-1)/8.76*(1+AC$8),0)</f>
        <v>132</v>
      </c>
      <c r="N29" s="90">
        <f t="shared" ref="N29" ca="1" si="124">ROUND(OFFSET(INDIRECT($A24&amp;"!P$5"),0,N$1-1)/8.76*(1+AD$8),0)</f>
        <v>196</v>
      </c>
      <c r="O29" s="90">
        <f t="shared" ref="O29" ca="1" si="125">ROUND(OFFSET(INDIRECT($A24&amp;"!P$5"),0,O$1-1)/8.76*(1+AE$8),0)</f>
        <v>306</v>
      </c>
      <c r="P29" s="59">
        <f t="shared" ref="P29" ca="1" si="126">ROUND(OFFSET(INDIRECT($A24&amp;"!P$5"),0,P$1-1)/8.76*(1+AF$8),0)</f>
        <v>306</v>
      </c>
    </row>
    <row r="31" spans="1:39" x14ac:dyDescent="0.25">
      <c r="A31" t="s">
        <v>100</v>
      </c>
      <c r="B31" s="63" t="str">
        <f>VLOOKUP(A31,$A$88:$B$99,2,FALSE)</f>
        <v>Malawi</v>
      </c>
      <c r="N31" t="str">
        <f ca="1">O31&amp;" "&amp;P31&amp;" "&amp;Q31&amp;" "&amp;R31&amp;" "&amp;S31&amp;" "&amp;T31&amp;" "&amp;U31&amp;" "&amp;V31&amp;" "&amp;W31&amp;" "&amp;X31&amp;" "&amp;Y31&amp;" "&amp;Z31&amp;" "&amp;AA31&amp;" "&amp;AB31&amp;" "&amp;AC31&amp;" "&amp;AD31&amp;" "&amp;AE31&amp;" "&amp;AF31&amp;" "&amp;AG31&amp;" "&amp;AH31&amp;" "&amp;AI31&amp;" "&amp;AJ31&amp;" "&amp;AK31&amp;" "&amp;AL31&amp;" "&amp;AM31</f>
        <v>155 191 200 209 219 228 237 246 256 265 275 285 293 302 310 320 329 339 349 359 369 388 602 980 980</v>
      </c>
      <c r="O31" s="88">
        <f t="shared" ref="O31:Y31" ca="1" si="127">C34</f>
        <v>155</v>
      </c>
      <c r="P31" s="88">
        <f t="shared" ca="1" si="127"/>
        <v>191</v>
      </c>
      <c r="Q31" s="88">
        <f t="shared" ca="1" si="127"/>
        <v>200</v>
      </c>
      <c r="R31" s="88">
        <f t="shared" ca="1" si="127"/>
        <v>209</v>
      </c>
      <c r="S31" s="88">
        <f t="shared" ca="1" si="127"/>
        <v>219</v>
      </c>
      <c r="T31" s="88">
        <f t="shared" ca="1" si="127"/>
        <v>228</v>
      </c>
      <c r="U31" s="88">
        <f t="shared" ca="1" si="127"/>
        <v>237</v>
      </c>
      <c r="V31" s="88">
        <f t="shared" ca="1" si="127"/>
        <v>246</v>
      </c>
      <c r="W31" s="88">
        <f t="shared" ca="1" si="127"/>
        <v>256</v>
      </c>
      <c r="X31" s="88">
        <f t="shared" ca="1" si="127"/>
        <v>265</v>
      </c>
      <c r="Y31" s="88">
        <f t="shared" ca="1" si="127"/>
        <v>275</v>
      </c>
      <c r="Z31" s="88">
        <f t="shared" ref="Z31:AM31" ca="1" si="128">C36</f>
        <v>285</v>
      </c>
      <c r="AA31" s="88">
        <f t="shared" ca="1" si="128"/>
        <v>293</v>
      </c>
      <c r="AB31" s="88">
        <f t="shared" ca="1" si="128"/>
        <v>302</v>
      </c>
      <c r="AC31" s="88">
        <f t="shared" ca="1" si="128"/>
        <v>310</v>
      </c>
      <c r="AD31" s="88">
        <f t="shared" ca="1" si="128"/>
        <v>320</v>
      </c>
      <c r="AE31" s="88">
        <f t="shared" ca="1" si="128"/>
        <v>329</v>
      </c>
      <c r="AF31" s="88">
        <f t="shared" ca="1" si="128"/>
        <v>339</v>
      </c>
      <c r="AG31" s="88">
        <f t="shared" ca="1" si="128"/>
        <v>349</v>
      </c>
      <c r="AH31" s="88">
        <f t="shared" ca="1" si="128"/>
        <v>359</v>
      </c>
      <c r="AI31" s="88">
        <f t="shared" ca="1" si="128"/>
        <v>369</v>
      </c>
      <c r="AJ31" s="88">
        <f t="shared" ca="1" si="128"/>
        <v>388</v>
      </c>
      <c r="AK31" s="88">
        <f t="shared" ca="1" si="128"/>
        <v>602</v>
      </c>
      <c r="AL31" s="88">
        <f t="shared" ca="1" si="128"/>
        <v>980</v>
      </c>
      <c r="AM31" s="88">
        <f t="shared" ca="1" si="128"/>
        <v>980</v>
      </c>
    </row>
    <row r="32" spans="1:39" ht="15.75" thickBot="1" x14ac:dyDescent="0.3">
      <c r="B32" s="62" t="s">
        <v>87</v>
      </c>
      <c r="M32" s="87"/>
    </row>
    <row r="33" spans="1:39" ht="15.75" thickTop="1" x14ac:dyDescent="0.25">
      <c r="B33" s="54" t="s">
        <v>85</v>
      </c>
      <c r="C33" s="55">
        <v>2010</v>
      </c>
      <c r="D33" s="56">
        <f>C33+1</f>
        <v>2011</v>
      </c>
      <c r="E33" s="56">
        <f t="shared" ref="E33" si="129">D33+1</f>
        <v>2012</v>
      </c>
      <c r="F33" s="56">
        <f t="shared" ref="F33" si="130">E33+1</f>
        <v>2013</v>
      </c>
      <c r="G33" s="56">
        <f t="shared" ref="G33" si="131">F33+1</f>
        <v>2014</v>
      </c>
      <c r="H33" s="56">
        <f t="shared" ref="H33" si="132">G33+1</f>
        <v>2015</v>
      </c>
      <c r="I33" s="56">
        <f t="shared" ref="I33" si="133">H33+1</f>
        <v>2016</v>
      </c>
      <c r="J33" s="56">
        <f t="shared" ref="J33" si="134">I33+1</f>
        <v>2017</v>
      </c>
      <c r="K33" s="56">
        <f t="shared" ref="K33" si="135">J33+1</f>
        <v>2018</v>
      </c>
      <c r="L33" s="56">
        <f t="shared" ref="L33" si="136">K33+1</f>
        <v>2019</v>
      </c>
      <c r="M33" s="56">
        <f>L33+1</f>
        <v>2020</v>
      </c>
    </row>
    <row r="34" spans="1:39" x14ac:dyDescent="0.25">
      <c r="B34" s="57" t="s">
        <v>86</v>
      </c>
      <c r="C34" s="58">
        <f ca="1">ROUND(OFFSET(INDIRECT($A31&amp;"!D$5"),0,C$1)/8.76*(1+S$6),0)</f>
        <v>155</v>
      </c>
      <c r="D34" s="59">
        <f t="shared" ref="D34" ca="1" si="137">ROUND(OFFSET(INDIRECT($A31&amp;"!D$5"),0,D$1)/8.76*(1+T$6),0)</f>
        <v>191</v>
      </c>
      <c r="E34" s="59">
        <f t="shared" ref="E34" ca="1" si="138">ROUND(OFFSET(INDIRECT($A31&amp;"!D$5"),0,E$1)/8.76*(1+U$6),0)</f>
        <v>200</v>
      </c>
      <c r="F34" s="59">
        <f t="shared" ref="F34" ca="1" si="139">ROUND(OFFSET(INDIRECT($A31&amp;"!D$5"),0,F$1)/8.76*(1+V$6),0)</f>
        <v>209</v>
      </c>
      <c r="G34" s="59">
        <f t="shared" ref="G34" ca="1" si="140">ROUND(OFFSET(INDIRECT($A31&amp;"!D$5"),0,G$1)/8.76*(1+W$6),0)</f>
        <v>219</v>
      </c>
      <c r="H34" s="59">
        <f t="shared" ref="H34" ca="1" si="141">ROUND(OFFSET(INDIRECT($A31&amp;"!D$5"),0,H$1)/8.76*(1+X$6),0)</f>
        <v>228</v>
      </c>
      <c r="I34" s="59">
        <f t="shared" ref="I34" ca="1" si="142">ROUND(OFFSET(INDIRECT($A31&amp;"!D$5"),0,I$1)/8.76*(1+Y$6),0)</f>
        <v>237</v>
      </c>
      <c r="J34" s="59">
        <f t="shared" ref="J34" ca="1" si="143">ROUND(OFFSET(INDIRECT($A31&amp;"!D$5"),0,J$1)/8.76*(1+Z$6),0)</f>
        <v>246</v>
      </c>
      <c r="K34" s="59">
        <f t="shared" ref="K34" ca="1" si="144">ROUND(OFFSET(INDIRECT($A31&amp;"!D$5"),0,K$1)/8.76*(1+AA$6),0)</f>
        <v>256</v>
      </c>
      <c r="L34" s="59">
        <f t="shared" ref="L34" ca="1" si="145">ROUND(OFFSET(INDIRECT($A31&amp;"!D$5"),0,L$1)/8.76*(1+AB$6),0)</f>
        <v>265</v>
      </c>
      <c r="M34" s="59">
        <f t="shared" ref="M34" ca="1" si="146">ROUND(OFFSET(INDIRECT($A31&amp;"!D$5"),0,M$1)/8.76*(1+AC$6),0)</f>
        <v>275</v>
      </c>
    </row>
    <row r="35" spans="1:39" x14ac:dyDescent="0.25">
      <c r="B35" s="61" t="s">
        <v>85</v>
      </c>
      <c r="C35" s="55">
        <f>M33+1</f>
        <v>2021</v>
      </c>
      <c r="D35" s="56">
        <f>C35+1</f>
        <v>2022</v>
      </c>
      <c r="E35" s="56">
        <f t="shared" ref="E35" si="147">D35+1</f>
        <v>2023</v>
      </c>
      <c r="F35" s="56">
        <f t="shared" ref="F35" si="148">E35+1</f>
        <v>2024</v>
      </c>
      <c r="G35" s="56">
        <f t="shared" ref="G35" si="149">F35+1</f>
        <v>2025</v>
      </c>
      <c r="H35" s="56">
        <f t="shared" ref="H35" si="150">G35+1</f>
        <v>2026</v>
      </c>
      <c r="I35" s="56">
        <f>H35+1</f>
        <v>2027</v>
      </c>
      <c r="J35" s="56">
        <f t="shared" ref="J35" si="151">I35+1</f>
        <v>2028</v>
      </c>
      <c r="K35" s="56">
        <f t="shared" ref="K35" si="152">J35+1</f>
        <v>2029</v>
      </c>
      <c r="L35" s="56">
        <f>K35+1</f>
        <v>2030</v>
      </c>
      <c r="M35" s="56">
        <f>L35+1</f>
        <v>2031</v>
      </c>
      <c r="N35" s="56">
        <v>2040</v>
      </c>
      <c r="O35" s="56">
        <v>2050</v>
      </c>
      <c r="P35" s="56">
        <v>2060</v>
      </c>
    </row>
    <row r="36" spans="1:39" x14ac:dyDescent="0.25">
      <c r="B36" s="57" t="s">
        <v>86</v>
      </c>
      <c r="C36" s="89">
        <f ca="1">ROUND(OFFSET(INDIRECT($A31&amp;"!P$5"),0,C$1-1)/8.76*(1+S$8),0)</f>
        <v>285</v>
      </c>
      <c r="D36" s="90">
        <f t="shared" ref="D36" ca="1" si="153">ROUND(OFFSET(INDIRECT($A31&amp;"!P$5"),0,D$1-1)/8.76*(1+T$8),0)</f>
        <v>293</v>
      </c>
      <c r="E36" s="90">
        <f t="shared" ref="E36" ca="1" si="154">ROUND(OFFSET(INDIRECT($A31&amp;"!P$5"),0,E$1-1)/8.76*(1+U$8),0)</f>
        <v>302</v>
      </c>
      <c r="F36" s="90">
        <f t="shared" ref="F36" ca="1" si="155">ROUND(OFFSET(INDIRECT($A31&amp;"!P$5"),0,F$1-1)/8.76*(1+V$8),0)</f>
        <v>310</v>
      </c>
      <c r="G36" s="90">
        <f t="shared" ref="G36" ca="1" si="156">ROUND(OFFSET(INDIRECT($A31&amp;"!P$5"),0,G$1-1)/8.76*(1+W$8),0)</f>
        <v>320</v>
      </c>
      <c r="H36" s="90">
        <f t="shared" ref="H36" ca="1" si="157">ROUND(OFFSET(INDIRECT($A31&amp;"!P$5"),0,H$1-1)/8.76*(1+X$8),0)</f>
        <v>329</v>
      </c>
      <c r="I36" s="90">
        <f t="shared" ref="I36" ca="1" si="158">ROUND(OFFSET(INDIRECT($A31&amp;"!P$5"),0,I$1-1)/8.76*(1+Y$8),0)</f>
        <v>339</v>
      </c>
      <c r="J36" s="90">
        <f t="shared" ref="J36" ca="1" si="159">ROUND(OFFSET(INDIRECT($A31&amp;"!P$5"),0,J$1-1)/8.76*(1+Z$8),0)</f>
        <v>349</v>
      </c>
      <c r="K36" s="90">
        <f t="shared" ref="K36" ca="1" si="160">ROUND(OFFSET(INDIRECT($A31&amp;"!P$5"),0,K$1-1)/8.76*(1+AA$8),0)</f>
        <v>359</v>
      </c>
      <c r="L36" s="90">
        <f t="shared" ref="L36" ca="1" si="161">ROUND(OFFSET(INDIRECT($A31&amp;"!P$5"),0,L$1-1)/8.76*(1+AB$8),0)</f>
        <v>369</v>
      </c>
      <c r="M36" s="90">
        <f t="shared" ref="M36" ca="1" si="162">ROUND(OFFSET(INDIRECT($A31&amp;"!P$5"),0,M$1-1)/8.76*(1+AC$8),0)</f>
        <v>388</v>
      </c>
      <c r="N36" s="90">
        <f t="shared" ref="N36" ca="1" si="163">ROUND(OFFSET(INDIRECT($A31&amp;"!P$5"),0,N$1-1)/8.76*(1+AD$8),0)</f>
        <v>602</v>
      </c>
      <c r="O36" s="90">
        <f t="shared" ref="O36" ca="1" si="164">ROUND(OFFSET(INDIRECT($A31&amp;"!P$5"),0,O$1-1)/8.76*(1+AE$8),0)</f>
        <v>980</v>
      </c>
      <c r="P36" s="59">
        <f t="shared" ref="P36" ca="1" si="165">ROUND(OFFSET(INDIRECT($A31&amp;"!P$5"),0,P$1-1)/8.76*(1+AF$8),0)</f>
        <v>980</v>
      </c>
    </row>
    <row r="38" spans="1:39" x14ac:dyDescent="0.25">
      <c r="A38" t="s">
        <v>101</v>
      </c>
      <c r="B38" s="63" t="str">
        <f>VLOOKUP(A38,$A$88:$B$99,2,FALSE)</f>
        <v>Mozambique</v>
      </c>
      <c r="N38" t="str">
        <f ca="1">O38&amp;" "&amp;P38&amp;" "&amp;Q38&amp;" "&amp;R38&amp;" "&amp;S38&amp;" "&amp;T38&amp;" "&amp;U38&amp;" "&amp;V38&amp;" "&amp;W38&amp;" "&amp;X38&amp;" "&amp;Y38&amp;" "&amp;Z38&amp;" "&amp;AA38&amp;" "&amp;AB38&amp;" "&amp;AC38&amp;" "&amp;AD38&amp;" "&amp;AE38&amp;" "&amp;AF38&amp;" "&amp;AG38&amp;" "&amp;AH38&amp;" "&amp;AI38&amp;" "&amp;AJ38&amp;" "&amp;AK38&amp;" "&amp;AL38&amp;" "&amp;AM38</f>
        <v>365 388 414 433 454 475 493 514 535 557 579 602 626 651 677 705 733 762 793 825 858 892 1271 1884 1884</v>
      </c>
      <c r="O38" s="88">
        <f t="shared" ref="O38:Y38" ca="1" si="166">C41</f>
        <v>365</v>
      </c>
      <c r="P38" s="88">
        <f t="shared" ca="1" si="166"/>
        <v>388</v>
      </c>
      <c r="Q38" s="88">
        <f t="shared" ca="1" si="166"/>
        <v>414</v>
      </c>
      <c r="R38" s="88">
        <f t="shared" ca="1" si="166"/>
        <v>433</v>
      </c>
      <c r="S38" s="88">
        <f t="shared" ca="1" si="166"/>
        <v>454</v>
      </c>
      <c r="T38" s="88">
        <f t="shared" ca="1" si="166"/>
        <v>475</v>
      </c>
      <c r="U38" s="88">
        <f t="shared" ca="1" si="166"/>
        <v>493</v>
      </c>
      <c r="V38" s="88">
        <f t="shared" ca="1" si="166"/>
        <v>514</v>
      </c>
      <c r="W38" s="88">
        <f t="shared" ca="1" si="166"/>
        <v>535</v>
      </c>
      <c r="X38" s="88">
        <f t="shared" ca="1" si="166"/>
        <v>557</v>
      </c>
      <c r="Y38" s="88">
        <f t="shared" ca="1" si="166"/>
        <v>579</v>
      </c>
      <c r="Z38" s="88">
        <f t="shared" ref="Z38:AM38" ca="1" si="167">C43</f>
        <v>602</v>
      </c>
      <c r="AA38" s="88">
        <f t="shared" ca="1" si="167"/>
        <v>626</v>
      </c>
      <c r="AB38" s="88">
        <f t="shared" ca="1" si="167"/>
        <v>651</v>
      </c>
      <c r="AC38" s="88">
        <f t="shared" ca="1" si="167"/>
        <v>677</v>
      </c>
      <c r="AD38" s="88">
        <f t="shared" ca="1" si="167"/>
        <v>705</v>
      </c>
      <c r="AE38" s="88">
        <f t="shared" ca="1" si="167"/>
        <v>733</v>
      </c>
      <c r="AF38" s="88">
        <f t="shared" ca="1" si="167"/>
        <v>762</v>
      </c>
      <c r="AG38" s="88">
        <f t="shared" ca="1" si="167"/>
        <v>793</v>
      </c>
      <c r="AH38" s="88">
        <f t="shared" ca="1" si="167"/>
        <v>825</v>
      </c>
      <c r="AI38" s="88">
        <f t="shared" ca="1" si="167"/>
        <v>858</v>
      </c>
      <c r="AJ38" s="88">
        <f t="shared" ca="1" si="167"/>
        <v>892</v>
      </c>
      <c r="AK38" s="88">
        <f t="shared" ca="1" si="167"/>
        <v>1271</v>
      </c>
      <c r="AL38" s="88">
        <f t="shared" ca="1" si="167"/>
        <v>1884</v>
      </c>
      <c r="AM38" s="88">
        <f t="shared" ca="1" si="167"/>
        <v>1884</v>
      </c>
    </row>
    <row r="39" spans="1:39" ht="15.75" thickBot="1" x14ac:dyDescent="0.3">
      <c r="B39" s="62" t="s">
        <v>87</v>
      </c>
      <c r="M39" s="87"/>
    </row>
    <row r="40" spans="1:39" ht="15.75" thickTop="1" x14ac:dyDescent="0.25">
      <c r="B40" s="54" t="s">
        <v>85</v>
      </c>
      <c r="C40" s="55">
        <v>2010</v>
      </c>
      <c r="D40" s="56">
        <f>C40+1</f>
        <v>2011</v>
      </c>
      <c r="E40" s="56">
        <f t="shared" ref="E40" si="168">D40+1</f>
        <v>2012</v>
      </c>
      <c r="F40" s="56">
        <f t="shared" ref="F40" si="169">E40+1</f>
        <v>2013</v>
      </c>
      <c r="G40" s="56">
        <f t="shared" ref="G40" si="170">F40+1</f>
        <v>2014</v>
      </c>
      <c r="H40" s="56">
        <f t="shared" ref="H40" si="171">G40+1</f>
        <v>2015</v>
      </c>
      <c r="I40" s="56">
        <f t="shared" ref="I40" si="172">H40+1</f>
        <v>2016</v>
      </c>
      <c r="J40" s="56">
        <f t="shared" ref="J40" si="173">I40+1</f>
        <v>2017</v>
      </c>
      <c r="K40" s="56">
        <f t="shared" ref="K40" si="174">J40+1</f>
        <v>2018</v>
      </c>
      <c r="L40" s="56">
        <f t="shared" ref="L40" si="175">K40+1</f>
        <v>2019</v>
      </c>
      <c r="M40" s="56">
        <f>L40+1</f>
        <v>2020</v>
      </c>
    </row>
    <row r="41" spans="1:39" x14ac:dyDescent="0.25">
      <c r="B41" s="57" t="s">
        <v>86</v>
      </c>
      <c r="C41" s="58">
        <f ca="1">ROUND(OFFSET(INDIRECT($A38&amp;"!D$5"),0,C$1)/8.76*(1+S$6),0)</f>
        <v>365</v>
      </c>
      <c r="D41" s="59">
        <f t="shared" ref="D41" ca="1" si="176">ROUND(OFFSET(INDIRECT($A38&amp;"!D$5"),0,D$1)/8.76*(1+T$6),0)</f>
        <v>388</v>
      </c>
      <c r="E41" s="59">
        <f t="shared" ref="E41" ca="1" si="177">ROUND(OFFSET(INDIRECT($A38&amp;"!D$5"),0,E$1)/8.76*(1+U$6),0)</f>
        <v>414</v>
      </c>
      <c r="F41" s="59">
        <f t="shared" ref="F41" ca="1" si="178">ROUND(OFFSET(INDIRECT($A38&amp;"!D$5"),0,F$1)/8.76*(1+V$6),0)</f>
        <v>433</v>
      </c>
      <c r="G41" s="59">
        <f t="shared" ref="G41" ca="1" si="179">ROUND(OFFSET(INDIRECT($A38&amp;"!D$5"),0,G$1)/8.76*(1+W$6),0)</f>
        <v>454</v>
      </c>
      <c r="H41" s="59">
        <f t="shared" ref="H41" ca="1" si="180">ROUND(OFFSET(INDIRECT($A38&amp;"!D$5"),0,H$1)/8.76*(1+X$6),0)</f>
        <v>475</v>
      </c>
      <c r="I41" s="59">
        <f t="shared" ref="I41" ca="1" si="181">ROUND(OFFSET(INDIRECT($A38&amp;"!D$5"),0,I$1)/8.76*(1+Y$6),0)</f>
        <v>493</v>
      </c>
      <c r="J41" s="59">
        <f t="shared" ref="J41" ca="1" si="182">ROUND(OFFSET(INDIRECT($A38&amp;"!D$5"),0,J$1)/8.76*(1+Z$6),0)</f>
        <v>514</v>
      </c>
      <c r="K41" s="59">
        <f t="shared" ref="K41" ca="1" si="183">ROUND(OFFSET(INDIRECT($A38&amp;"!D$5"),0,K$1)/8.76*(1+AA$6),0)</f>
        <v>535</v>
      </c>
      <c r="L41" s="59">
        <f t="shared" ref="L41" ca="1" si="184">ROUND(OFFSET(INDIRECT($A38&amp;"!D$5"),0,L$1)/8.76*(1+AB$6),0)</f>
        <v>557</v>
      </c>
      <c r="M41" s="59">
        <f t="shared" ref="M41" ca="1" si="185">ROUND(OFFSET(INDIRECT($A38&amp;"!D$5"),0,M$1)/8.76*(1+AC$6),0)</f>
        <v>579</v>
      </c>
    </row>
    <row r="42" spans="1:39" x14ac:dyDescent="0.25">
      <c r="B42" s="61" t="s">
        <v>85</v>
      </c>
      <c r="C42" s="55">
        <f>M40+1</f>
        <v>2021</v>
      </c>
      <c r="D42" s="56">
        <f>C42+1</f>
        <v>2022</v>
      </c>
      <c r="E42" s="56">
        <f t="shared" ref="E42" si="186">D42+1</f>
        <v>2023</v>
      </c>
      <c r="F42" s="56">
        <f t="shared" ref="F42" si="187">E42+1</f>
        <v>2024</v>
      </c>
      <c r="G42" s="56">
        <f t="shared" ref="G42" si="188">F42+1</f>
        <v>2025</v>
      </c>
      <c r="H42" s="56">
        <f t="shared" ref="H42" si="189">G42+1</f>
        <v>2026</v>
      </c>
      <c r="I42" s="56">
        <f>H42+1</f>
        <v>2027</v>
      </c>
      <c r="J42" s="56">
        <f t="shared" ref="J42" si="190">I42+1</f>
        <v>2028</v>
      </c>
      <c r="K42" s="56">
        <f t="shared" ref="K42" si="191">J42+1</f>
        <v>2029</v>
      </c>
      <c r="L42" s="56">
        <f>K42+1</f>
        <v>2030</v>
      </c>
      <c r="M42" s="56">
        <f>L42+1</f>
        <v>2031</v>
      </c>
      <c r="N42" s="56">
        <v>2040</v>
      </c>
      <c r="O42" s="56">
        <v>2050</v>
      </c>
      <c r="P42" s="56">
        <v>2060</v>
      </c>
    </row>
    <row r="43" spans="1:39" x14ac:dyDescent="0.25">
      <c r="B43" s="57" t="s">
        <v>86</v>
      </c>
      <c r="C43" s="89">
        <f ca="1">ROUND(OFFSET(INDIRECT($A38&amp;"!P$5"),0,C$1-1)/8.76*(1+S$8),0)</f>
        <v>602</v>
      </c>
      <c r="D43" s="90">
        <f t="shared" ref="D43" ca="1" si="192">ROUND(OFFSET(INDIRECT($A38&amp;"!P$5"),0,D$1-1)/8.76*(1+T$8),0)</f>
        <v>626</v>
      </c>
      <c r="E43" s="90">
        <f t="shared" ref="E43" ca="1" si="193">ROUND(OFFSET(INDIRECT($A38&amp;"!P$5"),0,E$1-1)/8.76*(1+U$8),0)</f>
        <v>651</v>
      </c>
      <c r="F43" s="90">
        <f t="shared" ref="F43" ca="1" si="194">ROUND(OFFSET(INDIRECT($A38&amp;"!P$5"),0,F$1-1)/8.76*(1+V$8),0)</f>
        <v>677</v>
      </c>
      <c r="G43" s="90">
        <f t="shared" ref="G43" ca="1" si="195">ROUND(OFFSET(INDIRECT($A38&amp;"!P$5"),0,G$1-1)/8.76*(1+W$8),0)</f>
        <v>705</v>
      </c>
      <c r="H43" s="90">
        <f t="shared" ref="H43" ca="1" si="196">ROUND(OFFSET(INDIRECT($A38&amp;"!P$5"),0,H$1-1)/8.76*(1+X$8),0)</f>
        <v>733</v>
      </c>
      <c r="I43" s="90">
        <f t="shared" ref="I43" ca="1" si="197">ROUND(OFFSET(INDIRECT($A38&amp;"!P$5"),0,I$1-1)/8.76*(1+Y$8),0)</f>
        <v>762</v>
      </c>
      <c r="J43" s="90">
        <f t="shared" ref="J43" ca="1" si="198">ROUND(OFFSET(INDIRECT($A38&amp;"!P$5"),0,J$1-1)/8.76*(1+Z$8),0)</f>
        <v>793</v>
      </c>
      <c r="K43" s="90">
        <f t="shared" ref="K43" ca="1" si="199">ROUND(OFFSET(INDIRECT($A38&amp;"!P$5"),0,K$1-1)/8.76*(1+AA$8),0)</f>
        <v>825</v>
      </c>
      <c r="L43" s="90">
        <f t="shared" ref="L43" ca="1" si="200">ROUND(OFFSET(INDIRECT($A38&amp;"!P$5"),0,L$1-1)/8.76*(1+AB$8),0)</f>
        <v>858</v>
      </c>
      <c r="M43" s="90">
        <f t="shared" ref="M43" ca="1" si="201">ROUND(OFFSET(INDIRECT($A38&amp;"!P$5"),0,M$1-1)/8.76*(1+AC$8),0)</f>
        <v>892</v>
      </c>
      <c r="N43" s="90">
        <f t="shared" ref="N43" ca="1" si="202">ROUND(OFFSET(INDIRECT($A38&amp;"!P$5"),0,N$1-1)/8.76*(1+AD$8),0)</f>
        <v>1271</v>
      </c>
      <c r="O43" s="90">
        <f t="shared" ref="O43" ca="1" si="203">ROUND(OFFSET(INDIRECT($A38&amp;"!P$5"),0,O$1-1)/8.76*(1+AE$8),0)</f>
        <v>1884</v>
      </c>
      <c r="P43" s="59">
        <f t="shared" ref="P43" ca="1" si="204">ROUND(OFFSET(INDIRECT($A38&amp;"!P$5"),0,P$1-1)/8.76*(1+AF$8),0)</f>
        <v>1884</v>
      </c>
    </row>
    <row r="45" spans="1:39" x14ac:dyDescent="0.25">
      <c r="A45" t="s">
        <v>102</v>
      </c>
      <c r="B45" s="63" t="str">
        <f>VLOOKUP(A45,$A$88:$B$99,2,FALSE)</f>
        <v>Namibia</v>
      </c>
      <c r="N45" t="str">
        <f ca="1">O45&amp;" "&amp;P45&amp;" "&amp;Q45&amp;" "&amp;R45&amp;" "&amp;S45&amp;" "&amp;T45&amp;" "&amp;U45&amp;" "&amp;V45&amp;" "&amp;W45&amp;" "&amp;X45&amp;" "&amp;Y45&amp;" "&amp;Z45&amp;" "&amp;AA45&amp;" "&amp;AB45&amp;" "&amp;AC45&amp;" "&amp;AD45&amp;" "&amp;AE45&amp;" "&amp;AF45&amp;" "&amp;AG45&amp;" "&amp;AH45&amp;" "&amp;AI45&amp;" "&amp;AJ45&amp;" "&amp;AK45&amp;" "&amp;AL45&amp;" "&amp;AM45</f>
        <v>290 295 302 308 316 325 336 346 358 370 382 395 408 421 435 449 464 478 494 510 526 542 713 968 968</v>
      </c>
      <c r="O45" s="88">
        <f t="shared" ref="O45:Y45" ca="1" si="205">C48</f>
        <v>290</v>
      </c>
      <c r="P45" s="88">
        <f t="shared" ca="1" si="205"/>
        <v>295</v>
      </c>
      <c r="Q45" s="88">
        <f t="shared" ca="1" si="205"/>
        <v>302</v>
      </c>
      <c r="R45" s="88">
        <f t="shared" ca="1" si="205"/>
        <v>308</v>
      </c>
      <c r="S45" s="88">
        <f t="shared" ca="1" si="205"/>
        <v>316</v>
      </c>
      <c r="T45" s="88">
        <f t="shared" ca="1" si="205"/>
        <v>325</v>
      </c>
      <c r="U45" s="88">
        <f t="shared" ca="1" si="205"/>
        <v>336</v>
      </c>
      <c r="V45" s="88">
        <f t="shared" ca="1" si="205"/>
        <v>346</v>
      </c>
      <c r="W45" s="88">
        <f t="shared" ca="1" si="205"/>
        <v>358</v>
      </c>
      <c r="X45" s="88">
        <f t="shared" ca="1" si="205"/>
        <v>370</v>
      </c>
      <c r="Y45" s="88">
        <f t="shared" ca="1" si="205"/>
        <v>382</v>
      </c>
      <c r="Z45" s="88">
        <f t="shared" ref="Z45:AM45" ca="1" si="206">C50</f>
        <v>395</v>
      </c>
      <c r="AA45" s="88">
        <f t="shared" ca="1" si="206"/>
        <v>408</v>
      </c>
      <c r="AB45" s="88">
        <f t="shared" ca="1" si="206"/>
        <v>421</v>
      </c>
      <c r="AC45" s="88">
        <f t="shared" ca="1" si="206"/>
        <v>435</v>
      </c>
      <c r="AD45" s="88">
        <f t="shared" ca="1" si="206"/>
        <v>449</v>
      </c>
      <c r="AE45" s="88">
        <f t="shared" ca="1" si="206"/>
        <v>464</v>
      </c>
      <c r="AF45" s="88">
        <f t="shared" ca="1" si="206"/>
        <v>478</v>
      </c>
      <c r="AG45" s="88">
        <f t="shared" ca="1" si="206"/>
        <v>494</v>
      </c>
      <c r="AH45" s="88">
        <f t="shared" ca="1" si="206"/>
        <v>510</v>
      </c>
      <c r="AI45" s="88">
        <f t="shared" ca="1" si="206"/>
        <v>526</v>
      </c>
      <c r="AJ45" s="88">
        <f t="shared" ca="1" si="206"/>
        <v>542</v>
      </c>
      <c r="AK45" s="88">
        <f t="shared" ca="1" si="206"/>
        <v>713</v>
      </c>
      <c r="AL45" s="88">
        <f t="shared" ca="1" si="206"/>
        <v>968</v>
      </c>
      <c r="AM45" s="88">
        <f t="shared" ca="1" si="206"/>
        <v>968</v>
      </c>
    </row>
    <row r="46" spans="1:39" ht="15.75" thickBot="1" x14ac:dyDescent="0.3">
      <c r="B46" s="62" t="s">
        <v>87</v>
      </c>
      <c r="M46" s="87"/>
    </row>
    <row r="47" spans="1:39" ht="15.75" thickTop="1" x14ac:dyDescent="0.25">
      <c r="B47" s="54" t="s">
        <v>85</v>
      </c>
      <c r="C47" s="55">
        <v>2010</v>
      </c>
      <c r="D47" s="56">
        <f>C47+1</f>
        <v>2011</v>
      </c>
      <c r="E47" s="56">
        <f t="shared" ref="E47" si="207">D47+1</f>
        <v>2012</v>
      </c>
      <c r="F47" s="56">
        <f t="shared" ref="F47" si="208">E47+1</f>
        <v>2013</v>
      </c>
      <c r="G47" s="56">
        <f t="shared" ref="G47" si="209">F47+1</f>
        <v>2014</v>
      </c>
      <c r="H47" s="56">
        <f t="shared" ref="H47" si="210">G47+1</f>
        <v>2015</v>
      </c>
      <c r="I47" s="56">
        <f t="shared" ref="I47" si="211">H47+1</f>
        <v>2016</v>
      </c>
      <c r="J47" s="56">
        <f t="shared" ref="J47" si="212">I47+1</f>
        <v>2017</v>
      </c>
      <c r="K47" s="56">
        <f t="shared" ref="K47" si="213">J47+1</f>
        <v>2018</v>
      </c>
      <c r="L47" s="56">
        <f t="shared" ref="L47" si="214">K47+1</f>
        <v>2019</v>
      </c>
      <c r="M47" s="56">
        <f>L47+1</f>
        <v>2020</v>
      </c>
    </row>
    <row r="48" spans="1:39" x14ac:dyDescent="0.25">
      <c r="B48" s="57" t="s">
        <v>86</v>
      </c>
      <c r="C48" s="58">
        <f ca="1">ROUND(OFFSET(INDIRECT($A45&amp;"!D$5"),0,C$1)/8.76*(1+S$6),0)</f>
        <v>290</v>
      </c>
      <c r="D48" s="59">
        <f t="shared" ref="D48" ca="1" si="215">ROUND(OFFSET(INDIRECT($A45&amp;"!D$5"),0,D$1)/8.76*(1+T$6),0)</f>
        <v>295</v>
      </c>
      <c r="E48" s="59">
        <f t="shared" ref="E48" ca="1" si="216">ROUND(OFFSET(INDIRECT($A45&amp;"!D$5"),0,E$1)/8.76*(1+U$6),0)</f>
        <v>302</v>
      </c>
      <c r="F48" s="59">
        <f t="shared" ref="F48" ca="1" si="217">ROUND(OFFSET(INDIRECT($A45&amp;"!D$5"),0,F$1)/8.76*(1+V$6),0)</f>
        <v>308</v>
      </c>
      <c r="G48" s="59">
        <f t="shared" ref="G48" ca="1" si="218">ROUND(OFFSET(INDIRECT($A45&amp;"!D$5"),0,G$1)/8.76*(1+W$6),0)</f>
        <v>316</v>
      </c>
      <c r="H48" s="59">
        <f t="shared" ref="H48" ca="1" si="219">ROUND(OFFSET(INDIRECT($A45&amp;"!D$5"),0,H$1)/8.76*(1+X$6),0)</f>
        <v>325</v>
      </c>
      <c r="I48" s="59">
        <f t="shared" ref="I48" ca="1" si="220">ROUND(OFFSET(INDIRECT($A45&amp;"!D$5"),0,I$1)/8.76*(1+Y$6),0)</f>
        <v>336</v>
      </c>
      <c r="J48" s="59">
        <f t="shared" ref="J48" ca="1" si="221">ROUND(OFFSET(INDIRECT($A45&amp;"!D$5"),0,J$1)/8.76*(1+Z$6),0)</f>
        <v>346</v>
      </c>
      <c r="K48" s="59">
        <f t="shared" ref="K48" ca="1" si="222">ROUND(OFFSET(INDIRECT($A45&amp;"!D$5"),0,K$1)/8.76*(1+AA$6),0)</f>
        <v>358</v>
      </c>
      <c r="L48" s="59">
        <f t="shared" ref="L48" ca="1" si="223">ROUND(OFFSET(INDIRECT($A45&amp;"!D$5"),0,L$1)/8.76*(1+AB$6),0)</f>
        <v>370</v>
      </c>
      <c r="M48" s="59">
        <f t="shared" ref="M48" ca="1" si="224">ROUND(OFFSET(INDIRECT($A45&amp;"!D$5"),0,M$1)/8.76*(1+AC$6),0)</f>
        <v>382</v>
      </c>
    </row>
    <row r="49" spans="1:39" x14ac:dyDescent="0.25">
      <c r="B49" s="61" t="s">
        <v>85</v>
      </c>
      <c r="C49" s="55">
        <f>M47+1</f>
        <v>2021</v>
      </c>
      <c r="D49" s="56">
        <f>C49+1</f>
        <v>2022</v>
      </c>
      <c r="E49" s="56">
        <f t="shared" ref="E49" si="225">D49+1</f>
        <v>2023</v>
      </c>
      <c r="F49" s="56">
        <f t="shared" ref="F49" si="226">E49+1</f>
        <v>2024</v>
      </c>
      <c r="G49" s="56">
        <f t="shared" ref="G49" si="227">F49+1</f>
        <v>2025</v>
      </c>
      <c r="H49" s="56">
        <f t="shared" ref="H49" si="228">G49+1</f>
        <v>2026</v>
      </c>
      <c r="I49" s="56">
        <f>H49+1</f>
        <v>2027</v>
      </c>
      <c r="J49" s="56">
        <f t="shared" ref="J49" si="229">I49+1</f>
        <v>2028</v>
      </c>
      <c r="K49" s="56">
        <f t="shared" ref="K49" si="230">J49+1</f>
        <v>2029</v>
      </c>
      <c r="L49" s="56">
        <f>K49+1</f>
        <v>2030</v>
      </c>
      <c r="M49" s="56">
        <f>L49+1</f>
        <v>2031</v>
      </c>
      <c r="N49" s="56">
        <v>2040</v>
      </c>
      <c r="O49" s="56">
        <v>2050</v>
      </c>
      <c r="P49" s="56">
        <v>2060</v>
      </c>
    </row>
    <row r="50" spans="1:39" x14ac:dyDescent="0.25">
      <c r="B50" s="57" t="s">
        <v>86</v>
      </c>
      <c r="C50" s="89">
        <f ca="1">ROUND(OFFSET(INDIRECT($A45&amp;"!P$5"),0,C$1-1)/8.76*(1+S$8),0)</f>
        <v>395</v>
      </c>
      <c r="D50" s="90">
        <f t="shared" ref="D50" ca="1" si="231">ROUND(OFFSET(INDIRECT($A45&amp;"!P$5"),0,D$1-1)/8.76*(1+T$8),0)</f>
        <v>408</v>
      </c>
      <c r="E50" s="90">
        <f t="shared" ref="E50" ca="1" si="232">ROUND(OFFSET(INDIRECT($A45&amp;"!P$5"),0,E$1-1)/8.76*(1+U$8),0)</f>
        <v>421</v>
      </c>
      <c r="F50" s="90">
        <f t="shared" ref="F50" ca="1" si="233">ROUND(OFFSET(INDIRECT($A45&amp;"!P$5"),0,F$1-1)/8.76*(1+V$8),0)</f>
        <v>435</v>
      </c>
      <c r="G50" s="90">
        <f t="shared" ref="G50" ca="1" si="234">ROUND(OFFSET(INDIRECT($A45&amp;"!P$5"),0,G$1-1)/8.76*(1+W$8),0)</f>
        <v>449</v>
      </c>
      <c r="H50" s="90">
        <f t="shared" ref="H50" ca="1" si="235">ROUND(OFFSET(INDIRECT($A45&amp;"!P$5"),0,H$1-1)/8.76*(1+X$8),0)</f>
        <v>464</v>
      </c>
      <c r="I50" s="90">
        <f t="shared" ref="I50" ca="1" si="236">ROUND(OFFSET(INDIRECT($A45&amp;"!P$5"),0,I$1-1)/8.76*(1+Y$8),0)</f>
        <v>478</v>
      </c>
      <c r="J50" s="90">
        <f t="shared" ref="J50" ca="1" si="237">ROUND(OFFSET(INDIRECT($A45&amp;"!P$5"),0,J$1-1)/8.76*(1+Z$8),0)</f>
        <v>494</v>
      </c>
      <c r="K50" s="90">
        <f t="shared" ref="K50" ca="1" si="238">ROUND(OFFSET(INDIRECT($A45&amp;"!P$5"),0,K$1-1)/8.76*(1+AA$8),0)</f>
        <v>510</v>
      </c>
      <c r="L50" s="90">
        <f t="shared" ref="L50" ca="1" si="239">ROUND(OFFSET(INDIRECT($A45&amp;"!P$5"),0,L$1-1)/8.76*(1+AB$8),0)</f>
        <v>526</v>
      </c>
      <c r="M50" s="90">
        <f t="shared" ref="M50" ca="1" si="240">ROUND(OFFSET(INDIRECT($A45&amp;"!P$5"),0,M$1-1)/8.76*(1+AC$8),0)</f>
        <v>542</v>
      </c>
      <c r="N50" s="90">
        <f t="shared" ref="N50" ca="1" si="241">ROUND(OFFSET(INDIRECT($A45&amp;"!P$5"),0,N$1-1)/8.76*(1+AD$8),0)</f>
        <v>713</v>
      </c>
      <c r="O50" s="90">
        <f t="shared" ref="O50" ca="1" si="242">ROUND(OFFSET(INDIRECT($A45&amp;"!P$5"),0,O$1-1)/8.76*(1+AE$8),0)</f>
        <v>968</v>
      </c>
      <c r="P50" s="59">
        <f t="shared" ref="P50" ca="1" si="243">ROUND(OFFSET(INDIRECT($A45&amp;"!P$5"),0,P$1-1)/8.76*(1+AF$8),0)</f>
        <v>968</v>
      </c>
    </row>
    <row r="52" spans="1:39" x14ac:dyDescent="0.25">
      <c r="A52" t="s">
        <v>107</v>
      </c>
      <c r="B52" s="63" t="str">
        <f>VLOOKUP(A52,$A$88:$B$99,2,FALSE)</f>
        <v>South Africa</v>
      </c>
      <c r="N52" t="str">
        <f ca="1">O52&amp;" "&amp;P52&amp;" "&amp;Q52&amp;" "&amp;R52&amp;" "&amp;S52&amp;" "&amp;T52&amp;" "&amp;U52&amp;" "&amp;V52&amp;" "&amp;W52&amp;" "&amp;X52&amp;" "&amp;Y52&amp;" "&amp;Z52&amp;" "&amp;AA52&amp;" "&amp;AB52&amp;" "&amp;AC52&amp;" "&amp;AD52&amp;" "&amp;AE52&amp;" "&amp;AF52&amp;" "&amp;AG52&amp;" "&amp;AH52&amp;" "&amp;AI52&amp;" "&amp;AJ52&amp;" "&amp;AK52&amp;" "&amp;AL52&amp;" "&amp;AM52</f>
        <v>24953 25664 26449 27416 28089 29093 30091 31159 32341 33595 34710 35739 36675 37578 38489 39655 40765 41874 42948 43875 44736 45770 56216 71314 71314</v>
      </c>
      <c r="O52" s="88">
        <f t="shared" ref="O52:Y52" ca="1" si="244">C55</f>
        <v>24953</v>
      </c>
      <c r="P52" s="88">
        <f t="shared" ca="1" si="244"/>
        <v>25664</v>
      </c>
      <c r="Q52" s="88">
        <f t="shared" ca="1" si="244"/>
        <v>26449</v>
      </c>
      <c r="R52" s="88">
        <f t="shared" ca="1" si="244"/>
        <v>27416</v>
      </c>
      <c r="S52" s="88">
        <f t="shared" ca="1" si="244"/>
        <v>28089</v>
      </c>
      <c r="T52" s="88">
        <f t="shared" ca="1" si="244"/>
        <v>29093</v>
      </c>
      <c r="U52" s="88">
        <f t="shared" ca="1" si="244"/>
        <v>30091</v>
      </c>
      <c r="V52" s="88">
        <f t="shared" ca="1" si="244"/>
        <v>31159</v>
      </c>
      <c r="W52" s="88">
        <f t="shared" ca="1" si="244"/>
        <v>32341</v>
      </c>
      <c r="X52" s="88">
        <f t="shared" ca="1" si="244"/>
        <v>33595</v>
      </c>
      <c r="Y52" s="88">
        <f t="shared" ca="1" si="244"/>
        <v>34710</v>
      </c>
      <c r="Z52" s="88">
        <f t="shared" ref="Z52:AM52" ca="1" si="245">C57</f>
        <v>35739</v>
      </c>
      <c r="AA52" s="88">
        <f t="shared" ca="1" si="245"/>
        <v>36675</v>
      </c>
      <c r="AB52" s="88">
        <f t="shared" ca="1" si="245"/>
        <v>37578</v>
      </c>
      <c r="AC52" s="88">
        <f t="shared" ca="1" si="245"/>
        <v>38489</v>
      </c>
      <c r="AD52" s="88">
        <f t="shared" ca="1" si="245"/>
        <v>39655</v>
      </c>
      <c r="AE52" s="88">
        <f t="shared" ca="1" si="245"/>
        <v>40765</v>
      </c>
      <c r="AF52" s="88">
        <f t="shared" ca="1" si="245"/>
        <v>41874</v>
      </c>
      <c r="AG52" s="88">
        <f t="shared" ca="1" si="245"/>
        <v>42948</v>
      </c>
      <c r="AH52" s="88">
        <f t="shared" ca="1" si="245"/>
        <v>43875</v>
      </c>
      <c r="AI52" s="88">
        <f t="shared" ca="1" si="245"/>
        <v>44736</v>
      </c>
      <c r="AJ52" s="88">
        <f t="shared" ca="1" si="245"/>
        <v>45770</v>
      </c>
      <c r="AK52" s="88">
        <f t="shared" ca="1" si="245"/>
        <v>56216</v>
      </c>
      <c r="AL52" s="88">
        <f t="shared" ca="1" si="245"/>
        <v>71314</v>
      </c>
      <c r="AM52" s="88">
        <f t="shared" ca="1" si="245"/>
        <v>71314</v>
      </c>
    </row>
    <row r="53" spans="1:39" ht="15.75" thickBot="1" x14ac:dyDescent="0.3">
      <c r="B53" s="62" t="s">
        <v>87</v>
      </c>
      <c r="M53" s="87"/>
    </row>
    <row r="54" spans="1:39" ht="15.75" thickTop="1" x14ac:dyDescent="0.25">
      <c r="B54" s="54" t="s">
        <v>85</v>
      </c>
      <c r="C54" s="55">
        <v>2010</v>
      </c>
      <c r="D54" s="56">
        <f>C54+1</f>
        <v>2011</v>
      </c>
      <c r="E54" s="56">
        <f t="shared" ref="E54" si="246">D54+1</f>
        <v>2012</v>
      </c>
      <c r="F54" s="56">
        <f t="shared" ref="F54" si="247">E54+1</f>
        <v>2013</v>
      </c>
      <c r="G54" s="56">
        <f t="shared" ref="G54" si="248">F54+1</f>
        <v>2014</v>
      </c>
      <c r="H54" s="56">
        <f t="shared" ref="H54" si="249">G54+1</f>
        <v>2015</v>
      </c>
      <c r="I54" s="56">
        <f t="shared" ref="I54" si="250">H54+1</f>
        <v>2016</v>
      </c>
      <c r="J54" s="56">
        <f t="shared" ref="J54" si="251">I54+1</f>
        <v>2017</v>
      </c>
      <c r="K54" s="56">
        <f t="shared" ref="K54" si="252">J54+1</f>
        <v>2018</v>
      </c>
      <c r="L54" s="56">
        <f t="shared" ref="L54" si="253">K54+1</f>
        <v>2019</v>
      </c>
      <c r="M54" s="56">
        <f>L54+1</f>
        <v>2020</v>
      </c>
    </row>
    <row r="55" spans="1:39" x14ac:dyDescent="0.25">
      <c r="B55" s="57" t="s">
        <v>86</v>
      </c>
      <c r="C55" s="58">
        <f ca="1">ROUND(OFFSET(INDIRECT($A52&amp;"!D$5"),0,C$1)/8.76*(1+S$6),0)</f>
        <v>24953</v>
      </c>
      <c r="D55" s="59">
        <f t="shared" ref="D55" ca="1" si="254">ROUND(OFFSET(INDIRECT($A52&amp;"!D$5"),0,D$1)/8.76*(1+T$6),0)</f>
        <v>25664</v>
      </c>
      <c r="E55" s="59">
        <f t="shared" ref="E55" ca="1" si="255">ROUND(OFFSET(INDIRECT($A52&amp;"!D$5"),0,E$1)/8.76*(1+U$6),0)</f>
        <v>26449</v>
      </c>
      <c r="F55" s="59">
        <f t="shared" ref="F55" ca="1" si="256">ROUND(OFFSET(INDIRECT($A52&amp;"!D$5"),0,F$1)/8.76*(1+V$6),0)</f>
        <v>27416</v>
      </c>
      <c r="G55" s="59">
        <f t="shared" ref="G55" ca="1" si="257">ROUND(OFFSET(INDIRECT($A52&amp;"!D$5"),0,G$1)/8.76*(1+W$6),0)</f>
        <v>28089</v>
      </c>
      <c r="H55" s="59">
        <f t="shared" ref="H55" ca="1" si="258">ROUND(OFFSET(INDIRECT($A52&amp;"!D$5"),0,H$1)/8.76*(1+X$6),0)</f>
        <v>29093</v>
      </c>
      <c r="I55" s="59">
        <f t="shared" ref="I55" ca="1" si="259">ROUND(OFFSET(INDIRECT($A52&amp;"!D$5"),0,I$1)/8.76*(1+Y$6),0)</f>
        <v>30091</v>
      </c>
      <c r="J55" s="59">
        <f t="shared" ref="J55" ca="1" si="260">ROUND(OFFSET(INDIRECT($A52&amp;"!D$5"),0,J$1)/8.76*(1+Z$6),0)</f>
        <v>31159</v>
      </c>
      <c r="K55" s="59">
        <f t="shared" ref="K55" ca="1" si="261">ROUND(OFFSET(INDIRECT($A52&amp;"!D$5"),0,K$1)/8.76*(1+AA$6),0)</f>
        <v>32341</v>
      </c>
      <c r="L55" s="59">
        <f t="shared" ref="L55" ca="1" si="262">ROUND(OFFSET(INDIRECT($A52&amp;"!D$5"),0,L$1)/8.76*(1+AB$6),0)</f>
        <v>33595</v>
      </c>
      <c r="M55" s="59">
        <f t="shared" ref="M55" ca="1" si="263">ROUND(OFFSET(INDIRECT($A52&amp;"!D$5"),0,M$1)/8.76*(1+AC$6),0)</f>
        <v>34710</v>
      </c>
    </row>
    <row r="56" spans="1:39" x14ac:dyDescent="0.25">
      <c r="B56" s="61" t="s">
        <v>85</v>
      </c>
      <c r="C56" s="55">
        <f>M54+1</f>
        <v>2021</v>
      </c>
      <c r="D56" s="56">
        <f>C56+1</f>
        <v>2022</v>
      </c>
      <c r="E56" s="56">
        <f t="shared" ref="E56" si="264">D56+1</f>
        <v>2023</v>
      </c>
      <c r="F56" s="56">
        <f t="shared" ref="F56" si="265">E56+1</f>
        <v>2024</v>
      </c>
      <c r="G56" s="56">
        <f t="shared" ref="G56" si="266">F56+1</f>
        <v>2025</v>
      </c>
      <c r="H56" s="56">
        <f t="shared" ref="H56" si="267">G56+1</f>
        <v>2026</v>
      </c>
      <c r="I56" s="56">
        <f>H56+1</f>
        <v>2027</v>
      </c>
      <c r="J56" s="56">
        <f t="shared" ref="J56" si="268">I56+1</f>
        <v>2028</v>
      </c>
      <c r="K56" s="56">
        <f t="shared" ref="K56" si="269">J56+1</f>
        <v>2029</v>
      </c>
      <c r="L56" s="56">
        <f>K56+1</f>
        <v>2030</v>
      </c>
      <c r="M56" s="56">
        <f>L56+1</f>
        <v>2031</v>
      </c>
      <c r="N56" s="56">
        <v>2040</v>
      </c>
      <c r="O56" s="56">
        <v>2050</v>
      </c>
      <c r="P56" s="56">
        <v>2060</v>
      </c>
    </row>
    <row r="57" spans="1:39" x14ac:dyDescent="0.25">
      <c r="B57" s="57" t="s">
        <v>86</v>
      </c>
      <c r="C57" s="89">
        <f ca="1">ROUND(OFFSET(INDIRECT($A52&amp;"!P$5"),0,C$1-1)/8.76*(1+S$8),0)</f>
        <v>35739</v>
      </c>
      <c r="D57" s="90">
        <f t="shared" ref="D57" ca="1" si="270">ROUND(OFFSET(INDIRECT($A52&amp;"!P$5"),0,D$1-1)/8.76*(1+T$8),0)</f>
        <v>36675</v>
      </c>
      <c r="E57" s="90">
        <f t="shared" ref="E57" ca="1" si="271">ROUND(OFFSET(INDIRECT($A52&amp;"!P$5"),0,E$1-1)/8.76*(1+U$8),0)</f>
        <v>37578</v>
      </c>
      <c r="F57" s="90">
        <f t="shared" ref="F57" ca="1" si="272">ROUND(OFFSET(INDIRECT($A52&amp;"!P$5"),0,F$1-1)/8.76*(1+V$8),0)</f>
        <v>38489</v>
      </c>
      <c r="G57" s="90">
        <f t="shared" ref="G57" ca="1" si="273">ROUND(OFFSET(INDIRECT($A52&amp;"!P$5"),0,G$1-1)/8.76*(1+W$8),0)</f>
        <v>39655</v>
      </c>
      <c r="H57" s="90">
        <f t="shared" ref="H57" ca="1" si="274">ROUND(OFFSET(INDIRECT($A52&amp;"!P$5"),0,H$1-1)/8.76*(1+X$8),0)</f>
        <v>40765</v>
      </c>
      <c r="I57" s="90">
        <f t="shared" ref="I57" ca="1" si="275">ROUND(OFFSET(INDIRECT($A52&amp;"!P$5"),0,I$1-1)/8.76*(1+Y$8),0)</f>
        <v>41874</v>
      </c>
      <c r="J57" s="90">
        <f t="shared" ref="J57" ca="1" si="276">ROUND(OFFSET(INDIRECT($A52&amp;"!P$5"),0,J$1-1)/8.76*(1+Z$8),0)</f>
        <v>42948</v>
      </c>
      <c r="K57" s="90">
        <f t="shared" ref="K57" ca="1" si="277">ROUND(OFFSET(INDIRECT($A52&amp;"!P$5"),0,K$1-1)/8.76*(1+AA$8),0)</f>
        <v>43875</v>
      </c>
      <c r="L57" s="90">
        <f t="shared" ref="L57" ca="1" si="278">ROUND(OFFSET(INDIRECT($A52&amp;"!P$5"),0,L$1-1)/8.76*(1+AB$8),0)</f>
        <v>44736</v>
      </c>
      <c r="M57" s="90">
        <f t="shared" ref="M57" ca="1" si="279">ROUND(OFFSET(INDIRECT($A52&amp;"!P$5"),0,M$1-1)/8.76*(1+AC$8),0)</f>
        <v>45770</v>
      </c>
      <c r="N57" s="90">
        <f t="shared" ref="N57" ca="1" si="280">ROUND(OFFSET(INDIRECT($A52&amp;"!P$5"),0,N$1-1)/8.76*(1+AD$8),0)</f>
        <v>56216</v>
      </c>
      <c r="O57" s="90">
        <f t="shared" ref="O57" ca="1" si="281">ROUND(OFFSET(INDIRECT($A52&amp;"!P$5"),0,O$1-1)/8.76*(1+AE$8),0)</f>
        <v>71314</v>
      </c>
      <c r="P57" s="59">
        <f t="shared" ref="P57" ca="1" si="282">ROUND(OFFSET(INDIRECT($A52&amp;"!P$5"),0,P$1-1)/8.76*(1+AF$8),0)</f>
        <v>71314</v>
      </c>
    </row>
    <row r="59" spans="1:39" x14ac:dyDescent="0.25">
      <c r="A59" t="s">
        <v>103</v>
      </c>
      <c r="B59" s="63" t="str">
        <f>VLOOKUP(A59,$A$88:$B$99,2,FALSE)</f>
        <v>Swaziland</v>
      </c>
      <c r="N59" t="str">
        <f ca="1">O59&amp;" "&amp;P59&amp;" "&amp;Q59&amp;" "&amp;R59&amp;" "&amp;S59&amp;" "&amp;T59&amp;" "&amp;U59&amp;" "&amp;V59&amp;" "&amp;W59&amp;" "&amp;X59&amp;" "&amp;Y59&amp;" "&amp;Z59&amp;" "&amp;AA59&amp;" "&amp;AB59&amp;" "&amp;AC59&amp;" "&amp;AD59&amp;" "&amp;AE59&amp;" "&amp;AF59&amp;" "&amp;AG59&amp;" "&amp;AH59&amp;" "&amp;AI59&amp;" "&amp;AJ59&amp;" "&amp;AK59&amp;" "&amp;AL59&amp;" "&amp;AM59</f>
        <v>122 128 134 140 145 149 153 158 161 165 167 169 171 173 175 177 180 182 184 187 189 192 221 263 263</v>
      </c>
      <c r="O59" s="88">
        <f t="shared" ref="O59:Y59" ca="1" si="283">C62</f>
        <v>122</v>
      </c>
      <c r="P59" s="88">
        <f t="shared" ca="1" si="283"/>
        <v>128</v>
      </c>
      <c r="Q59" s="88">
        <f t="shared" ca="1" si="283"/>
        <v>134</v>
      </c>
      <c r="R59" s="88">
        <f t="shared" ca="1" si="283"/>
        <v>140</v>
      </c>
      <c r="S59" s="88">
        <f t="shared" ca="1" si="283"/>
        <v>145</v>
      </c>
      <c r="T59" s="88">
        <f t="shared" ca="1" si="283"/>
        <v>149</v>
      </c>
      <c r="U59" s="88">
        <f t="shared" ca="1" si="283"/>
        <v>153</v>
      </c>
      <c r="V59" s="88">
        <f t="shared" ca="1" si="283"/>
        <v>158</v>
      </c>
      <c r="W59" s="88">
        <f t="shared" ca="1" si="283"/>
        <v>161</v>
      </c>
      <c r="X59" s="88">
        <f t="shared" ca="1" si="283"/>
        <v>165</v>
      </c>
      <c r="Y59" s="88">
        <f t="shared" ca="1" si="283"/>
        <v>167</v>
      </c>
      <c r="Z59" s="88">
        <f t="shared" ref="Z59:AM59" ca="1" si="284">C64</f>
        <v>169</v>
      </c>
      <c r="AA59" s="88">
        <f t="shared" ca="1" si="284"/>
        <v>171</v>
      </c>
      <c r="AB59" s="88">
        <f t="shared" ca="1" si="284"/>
        <v>173</v>
      </c>
      <c r="AC59" s="88">
        <f t="shared" ca="1" si="284"/>
        <v>175</v>
      </c>
      <c r="AD59" s="88">
        <f t="shared" ca="1" si="284"/>
        <v>177</v>
      </c>
      <c r="AE59" s="88">
        <f t="shared" ca="1" si="284"/>
        <v>180</v>
      </c>
      <c r="AF59" s="88">
        <f t="shared" ca="1" si="284"/>
        <v>182</v>
      </c>
      <c r="AG59" s="88">
        <f t="shared" ca="1" si="284"/>
        <v>184</v>
      </c>
      <c r="AH59" s="88">
        <f t="shared" ca="1" si="284"/>
        <v>187</v>
      </c>
      <c r="AI59" s="88">
        <f t="shared" ca="1" si="284"/>
        <v>189</v>
      </c>
      <c r="AJ59" s="88">
        <f t="shared" ca="1" si="284"/>
        <v>192</v>
      </c>
      <c r="AK59" s="88">
        <f t="shared" ca="1" si="284"/>
        <v>221</v>
      </c>
      <c r="AL59" s="88">
        <f t="shared" ca="1" si="284"/>
        <v>263</v>
      </c>
      <c r="AM59" s="88">
        <f t="shared" ca="1" si="284"/>
        <v>263</v>
      </c>
    </row>
    <row r="60" spans="1:39" ht="15.75" thickBot="1" x14ac:dyDescent="0.3">
      <c r="B60" s="62" t="s">
        <v>87</v>
      </c>
      <c r="M60" s="87"/>
    </row>
    <row r="61" spans="1:39" ht="15.75" thickTop="1" x14ac:dyDescent="0.25">
      <c r="B61" s="54" t="s">
        <v>85</v>
      </c>
      <c r="C61" s="55">
        <v>2010</v>
      </c>
      <c r="D61" s="56">
        <f>C61+1</f>
        <v>2011</v>
      </c>
      <c r="E61" s="56">
        <f t="shared" ref="E61" si="285">D61+1</f>
        <v>2012</v>
      </c>
      <c r="F61" s="56">
        <f t="shared" ref="F61" si="286">E61+1</f>
        <v>2013</v>
      </c>
      <c r="G61" s="56">
        <f t="shared" ref="G61" si="287">F61+1</f>
        <v>2014</v>
      </c>
      <c r="H61" s="56">
        <f t="shared" ref="H61" si="288">G61+1</f>
        <v>2015</v>
      </c>
      <c r="I61" s="56">
        <f t="shared" ref="I61" si="289">H61+1</f>
        <v>2016</v>
      </c>
      <c r="J61" s="56">
        <f t="shared" ref="J61" si="290">I61+1</f>
        <v>2017</v>
      </c>
      <c r="K61" s="56">
        <f t="shared" ref="K61" si="291">J61+1</f>
        <v>2018</v>
      </c>
      <c r="L61" s="56">
        <f t="shared" ref="L61" si="292">K61+1</f>
        <v>2019</v>
      </c>
      <c r="M61" s="56">
        <f>L61+1</f>
        <v>2020</v>
      </c>
    </row>
    <row r="62" spans="1:39" x14ac:dyDescent="0.25">
      <c r="B62" s="57" t="s">
        <v>86</v>
      </c>
      <c r="C62" s="58">
        <f ca="1">ROUND(OFFSET(INDIRECT($A59&amp;"!D$5"),0,C$1)/8.76*(1+S$6),0)</f>
        <v>122</v>
      </c>
      <c r="D62" s="59">
        <f t="shared" ref="D62" ca="1" si="293">ROUND(OFFSET(INDIRECT($A59&amp;"!D$5"),0,D$1)/8.76*(1+T$6),0)</f>
        <v>128</v>
      </c>
      <c r="E62" s="59">
        <f t="shared" ref="E62" ca="1" si="294">ROUND(OFFSET(INDIRECT($A59&amp;"!D$5"),0,E$1)/8.76*(1+U$6),0)</f>
        <v>134</v>
      </c>
      <c r="F62" s="59">
        <f t="shared" ref="F62" ca="1" si="295">ROUND(OFFSET(INDIRECT($A59&amp;"!D$5"),0,F$1)/8.76*(1+V$6),0)</f>
        <v>140</v>
      </c>
      <c r="G62" s="59">
        <f t="shared" ref="G62" ca="1" si="296">ROUND(OFFSET(INDIRECT($A59&amp;"!D$5"),0,G$1)/8.76*(1+W$6),0)</f>
        <v>145</v>
      </c>
      <c r="H62" s="59">
        <f t="shared" ref="H62" ca="1" si="297">ROUND(OFFSET(INDIRECT($A59&amp;"!D$5"),0,H$1)/8.76*(1+X$6),0)</f>
        <v>149</v>
      </c>
      <c r="I62" s="59">
        <f t="shared" ref="I62" ca="1" si="298">ROUND(OFFSET(INDIRECT($A59&amp;"!D$5"),0,I$1)/8.76*(1+Y$6),0)</f>
        <v>153</v>
      </c>
      <c r="J62" s="59">
        <f t="shared" ref="J62" ca="1" si="299">ROUND(OFFSET(INDIRECT($A59&amp;"!D$5"),0,J$1)/8.76*(1+Z$6),0)</f>
        <v>158</v>
      </c>
      <c r="K62" s="59">
        <f t="shared" ref="K62" ca="1" si="300">ROUND(OFFSET(INDIRECT($A59&amp;"!D$5"),0,K$1)/8.76*(1+AA$6),0)</f>
        <v>161</v>
      </c>
      <c r="L62" s="59">
        <f t="shared" ref="L62" ca="1" si="301">ROUND(OFFSET(INDIRECT($A59&amp;"!D$5"),0,L$1)/8.76*(1+AB$6),0)</f>
        <v>165</v>
      </c>
      <c r="M62" s="59">
        <f t="shared" ref="M62" ca="1" si="302">ROUND(OFFSET(INDIRECT($A59&amp;"!D$5"),0,M$1)/8.76*(1+AC$6),0)</f>
        <v>167</v>
      </c>
    </row>
    <row r="63" spans="1:39" x14ac:dyDescent="0.25">
      <c r="B63" s="61" t="s">
        <v>85</v>
      </c>
      <c r="C63" s="55">
        <f>M61+1</f>
        <v>2021</v>
      </c>
      <c r="D63" s="56">
        <f>C63+1</f>
        <v>2022</v>
      </c>
      <c r="E63" s="56">
        <f t="shared" ref="E63" si="303">D63+1</f>
        <v>2023</v>
      </c>
      <c r="F63" s="56">
        <f t="shared" ref="F63" si="304">E63+1</f>
        <v>2024</v>
      </c>
      <c r="G63" s="56">
        <f t="shared" ref="G63" si="305">F63+1</f>
        <v>2025</v>
      </c>
      <c r="H63" s="56">
        <f t="shared" ref="H63" si="306">G63+1</f>
        <v>2026</v>
      </c>
      <c r="I63" s="56">
        <f>H63+1</f>
        <v>2027</v>
      </c>
      <c r="J63" s="56">
        <f t="shared" ref="J63" si="307">I63+1</f>
        <v>2028</v>
      </c>
      <c r="K63" s="56">
        <f t="shared" ref="K63" si="308">J63+1</f>
        <v>2029</v>
      </c>
      <c r="L63" s="56">
        <f>K63+1</f>
        <v>2030</v>
      </c>
      <c r="M63" s="56">
        <f>L63+1</f>
        <v>2031</v>
      </c>
      <c r="N63" s="56">
        <v>2040</v>
      </c>
      <c r="O63" s="56">
        <v>2050</v>
      </c>
      <c r="P63" s="56">
        <v>2060</v>
      </c>
    </row>
    <row r="64" spans="1:39" x14ac:dyDescent="0.25">
      <c r="B64" s="57" t="s">
        <v>86</v>
      </c>
      <c r="C64" s="89">
        <f ca="1">ROUND(OFFSET(INDIRECT($A59&amp;"!P$5"),0,C$1-1)/8.76*(1+S$8),0)</f>
        <v>169</v>
      </c>
      <c r="D64" s="90">
        <f t="shared" ref="D64" ca="1" si="309">ROUND(OFFSET(INDIRECT($A59&amp;"!P$5"),0,D$1-1)/8.76*(1+T$8),0)</f>
        <v>171</v>
      </c>
      <c r="E64" s="90">
        <f t="shared" ref="E64" ca="1" si="310">ROUND(OFFSET(INDIRECT($A59&amp;"!P$5"),0,E$1-1)/8.76*(1+U$8),0)</f>
        <v>173</v>
      </c>
      <c r="F64" s="90">
        <f t="shared" ref="F64" ca="1" si="311">ROUND(OFFSET(INDIRECT($A59&amp;"!P$5"),0,F$1-1)/8.76*(1+V$8),0)</f>
        <v>175</v>
      </c>
      <c r="G64" s="90">
        <f t="shared" ref="G64" ca="1" si="312">ROUND(OFFSET(INDIRECT($A59&amp;"!P$5"),0,G$1-1)/8.76*(1+W$8),0)</f>
        <v>177</v>
      </c>
      <c r="H64" s="90">
        <f t="shared" ref="H64" ca="1" si="313">ROUND(OFFSET(INDIRECT($A59&amp;"!P$5"),0,H$1-1)/8.76*(1+X$8),0)</f>
        <v>180</v>
      </c>
      <c r="I64" s="90">
        <f t="shared" ref="I64" ca="1" si="314">ROUND(OFFSET(INDIRECT($A59&amp;"!P$5"),0,I$1-1)/8.76*(1+Y$8),0)</f>
        <v>182</v>
      </c>
      <c r="J64" s="90">
        <f t="shared" ref="J64" ca="1" si="315">ROUND(OFFSET(INDIRECT($A59&amp;"!P$5"),0,J$1-1)/8.76*(1+Z$8),0)</f>
        <v>184</v>
      </c>
      <c r="K64" s="90">
        <f t="shared" ref="K64" ca="1" si="316">ROUND(OFFSET(INDIRECT($A59&amp;"!P$5"),0,K$1-1)/8.76*(1+AA$8),0)</f>
        <v>187</v>
      </c>
      <c r="L64" s="90">
        <f t="shared" ref="L64" ca="1" si="317">ROUND(OFFSET(INDIRECT($A59&amp;"!P$5"),0,L$1-1)/8.76*(1+AB$8),0)</f>
        <v>189</v>
      </c>
      <c r="M64" s="90">
        <f t="shared" ref="M64" ca="1" si="318">ROUND(OFFSET(INDIRECT($A59&amp;"!P$5"),0,M$1-1)/8.76*(1+AC$8),0)</f>
        <v>192</v>
      </c>
      <c r="N64" s="90">
        <f t="shared" ref="N64" ca="1" si="319">ROUND(OFFSET(INDIRECT($A59&amp;"!P$5"),0,N$1-1)/8.76*(1+AD$8),0)</f>
        <v>221</v>
      </c>
      <c r="O64" s="90">
        <f t="shared" ref="O64" ca="1" si="320">ROUND(OFFSET(INDIRECT($A59&amp;"!P$5"),0,O$1-1)/8.76*(1+AE$8),0)</f>
        <v>263</v>
      </c>
      <c r="P64" s="59">
        <f t="shared" ref="P64" ca="1" si="321">ROUND(OFFSET(INDIRECT($A59&amp;"!P$5"),0,P$1-1)/8.76*(1+AF$8),0)</f>
        <v>263</v>
      </c>
    </row>
    <row r="66" spans="1:39" x14ac:dyDescent="0.25">
      <c r="A66" t="s">
        <v>104</v>
      </c>
      <c r="B66" s="63" t="str">
        <f>VLOOKUP(A66,$A$88:$B$99,2,FALSE)</f>
        <v>Tanzania</v>
      </c>
      <c r="N66" t="str">
        <f ca="1">O66&amp;" "&amp;P66&amp;" "&amp;Q66&amp;" "&amp;R66&amp;" "&amp;S66&amp;" "&amp;T66&amp;" "&amp;U66&amp;" "&amp;V66&amp;" "&amp;W66&amp;" "&amp;X66&amp;" "&amp;Y66&amp;" "&amp;Z66&amp;" "&amp;AA66&amp;" "&amp;AB66&amp;" "&amp;AC66&amp;" "&amp;AD66&amp;" "&amp;AE66&amp;" "&amp;AF66&amp;" "&amp;AG66&amp;" "&amp;AH66&amp;" "&amp;AI66&amp;" "&amp;AJ66&amp;" "&amp;AK66&amp;" "&amp;AL66&amp;" "&amp;AM66</f>
        <v>468 487 507 529 551 574 598 622 648 676 704 733 764 796 829 864 900 937 976 1017 1060 1113 1726 2582 2582</v>
      </c>
      <c r="O66" s="88">
        <f t="shared" ref="O66:Y66" ca="1" si="322">C69</f>
        <v>468</v>
      </c>
      <c r="P66" s="88">
        <f t="shared" ca="1" si="322"/>
        <v>487</v>
      </c>
      <c r="Q66" s="88">
        <f t="shared" ca="1" si="322"/>
        <v>507</v>
      </c>
      <c r="R66" s="88">
        <f t="shared" ca="1" si="322"/>
        <v>529</v>
      </c>
      <c r="S66" s="88">
        <f t="shared" ca="1" si="322"/>
        <v>551</v>
      </c>
      <c r="T66" s="88">
        <f t="shared" ca="1" si="322"/>
        <v>574</v>
      </c>
      <c r="U66" s="88">
        <f t="shared" ca="1" si="322"/>
        <v>598</v>
      </c>
      <c r="V66" s="88">
        <f t="shared" ca="1" si="322"/>
        <v>622</v>
      </c>
      <c r="W66" s="88">
        <f t="shared" ca="1" si="322"/>
        <v>648</v>
      </c>
      <c r="X66" s="88">
        <f t="shared" ca="1" si="322"/>
        <v>676</v>
      </c>
      <c r="Y66" s="88">
        <f t="shared" ca="1" si="322"/>
        <v>704</v>
      </c>
      <c r="Z66" s="88">
        <f t="shared" ref="Z66:AM66" ca="1" si="323">C71</f>
        <v>733</v>
      </c>
      <c r="AA66" s="88">
        <f t="shared" ca="1" si="323"/>
        <v>764</v>
      </c>
      <c r="AB66" s="88">
        <f t="shared" ca="1" si="323"/>
        <v>796</v>
      </c>
      <c r="AC66" s="88">
        <f t="shared" ca="1" si="323"/>
        <v>829</v>
      </c>
      <c r="AD66" s="88">
        <f t="shared" ca="1" si="323"/>
        <v>864</v>
      </c>
      <c r="AE66" s="88">
        <f t="shared" ca="1" si="323"/>
        <v>900</v>
      </c>
      <c r="AF66" s="88">
        <f t="shared" ca="1" si="323"/>
        <v>937</v>
      </c>
      <c r="AG66" s="88">
        <f t="shared" ca="1" si="323"/>
        <v>976</v>
      </c>
      <c r="AH66" s="88">
        <f t="shared" ca="1" si="323"/>
        <v>1017</v>
      </c>
      <c r="AI66" s="88">
        <f t="shared" ca="1" si="323"/>
        <v>1060</v>
      </c>
      <c r="AJ66" s="88">
        <f t="shared" ca="1" si="323"/>
        <v>1113</v>
      </c>
      <c r="AK66" s="88">
        <f t="shared" ca="1" si="323"/>
        <v>1726</v>
      </c>
      <c r="AL66" s="88">
        <f t="shared" ca="1" si="323"/>
        <v>2582</v>
      </c>
      <c r="AM66" s="88">
        <f t="shared" ca="1" si="323"/>
        <v>2582</v>
      </c>
    </row>
    <row r="67" spans="1:39" ht="15.75" thickBot="1" x14ac:dyDescent="0.3">
      <c r="B67" s="62" t="s">
        <v>87</v>
      </c>
      <c r="M67" s="87"/>
    </row>
    <row r="68" spans="1:39" ht="15.75" thickTop="1" x14ac:dyDescent="0.25">
      <c r="B68" s="54" t="s">
        <v>85</v>
      </c>
      <c r="C68" s="55">
        <v>2010</v>
      </c>
      <c r="D68" s="56">
        <f>C68+1</f>
        <v>2011</v>
      </c>
      <c r="E68" s="56">
        <f t="shared" ref="E68" si="324">D68+1</f>
        <v>2012</v>
      </c>
      <c r="F68" s="56">
        <f t="shared" ref="F68" si="325">E68+1</f>
        <v>2013</v>
      </c>
      <c r="G68" s="56">
        <f t="shared" ref="G68" si="326">F68+1</f>
        <v>2014</v>
      </c>
      <c r="H68" s="56">
        <f t="shared" ref="H68" si="327">G68+1</f>
        <v>2015</v>
      </c>
      <c r="I68" s="56">
        <f t="shared" ref="I68" si="328">H68+1</f>
        <v>2016</v>
      </c>
      <c r="J68" s="56">
        <f t="shared" ref="J68" si="329">I68+1</f>
        <v>2017</v>
      </c>
      <c r="K68" s="56">
        <f t="shared" ref="K68" si="330">J68+1</f>
        <v>2018</v>
      </c>
      <c r="L68" s="56">
        <f t="shared" ref="L68" si="331">K68+1</f>
        <v>2019</v>
      </c>
      <c r="M68" s="56">
        <f>L68+1</f>
        <v>2020</v>
      </c>
    </row>
    <row r="69" spans="1:39" x14ac:dyDescent="0.25">
      <c r="B69" s="57" t="s">
        <v>86</v>
      </c>
      <c r="C69" s="58">
        <f ca="1">ROUND(OFFSET(INDIRECT($A66&amp;"!D$5"),0,C$1)/8.76*(1+S$6),0)</f>
        <v>468</v>
      </c>
      <c r="D69" s="59">
        <f t="shared" ref="D69" ca="1" si="332">ROUND(OFFSET(INDIRECT($A66&amp;"!D$5"),0,D$1)/8.76*(1+T$6),0)</f>
        <v>487</v>
      </c>
      <c r="E69" s="59">
        <f t="shared" ref="E69" ca="1" si="333">ROUND(OFFSET(INDIRECT($A66&amp;"!D$5"),0,E$1)/8.76*(1+U$6),0)</f>
        <v>507</v>
      </c>
      <c r="F69" s="59">
        <f t="shared" ref="F69" ca="1" si="334">ROUND(OFFSET(INDIRECT($A66&amp;"!D$5"),0,F$1)/8.76*(1+V$6),0)</f>
        <v>529</v>
      </c>
      <c r="G69" s="59">
        <f t="shared" ref="G69" ca="1" si="335">ROUND(OFFSET(INDIRECT($A66&amp;"!D$5"),0,G$1)/8.76*(1+W$6),0)</f>
        <v>551</v>
      </c>
      <c r="H69" s="59">
        <f t="shared" ref="H69" ca="1" si="336">ROUND(OFFSET(INDIRECT($A66&amp;"!D$5"),0,H$1)/8.76*(1+X$6),0)</f>
        <v>574</v>
      </c>
      <c r="I69" s="59">
        <f t="shared" ref="I69" ca="1" si="337">ROUND(OFFSET(INDIRECT($A66&amp;"!D$5"),0,I$1)/8.76*(1+Y$6),0)</f>
        <v>598</v>
      </c>
      <c r="J69" s="59">
        <f t="shared" ref="J69" ca="1" si="338">ROUND(OFFSET(INDIRECT($A66&amp;"!D$5"),0,J$1)/8.76*(1+Z$6),0)</f>
        <v>622</v>
      </c>
      <c r="K69" s="59">
        <f t="shared" ref="K69" ca="1" si="339">ROUND(OFFSET(INDIRECT($A66&amp;"!D$5"),0,K$1)/8.76*(1+AA$6),0)</f>
        <v>648</v>
      </c>
      <c r="L69" s="59">
        <f t="shared" ref="L69" ca="1" si="340">ROUND(OFFSET(INDIRECT($A66&amp;"!D$5"),0,L$1)/8.76*(1+AB$6),0)</f>
        <v>676</v>
      </c>
      <c r="M69" s="59">
        <f t="shared" ref="M69" ca="1" si="341">ROUND(OFFSET(INDIRECT($A66&amp;"!D$5"),0,M$1)/8.76*(1+AC$6),0)</f>
        <v>704</v>
      </c>
    </row>
    <row r="70" spans="1:39" x14ac:dyDescent="0.25">
      <c r="B70" s="61" t="s">
        <v>85</v>
      </c>
      <c r="C70" s="55">
        <f>M68+1</f>
        <v>2021</v>
      </c>
      <c r="D70" s="56">
        <f>C70+1</f>
        <v>2022</v>
      </c>
      <c r="E70" s="56">
        <f t="shared" ref="E70" si="342">D70+1</f>
        <v>2023</v>
      </c>
      <c r="F70" s="56">
        <f t="shared" ref="F70" si="343">E70+1</f>
        <v>2024</v>
      </c>
      <c r="G70" s="56">
        <f t="shared" ref="G70" si="344">F70+1</f>
        <v>2025</v>
      </c>
      <c r="H70" s="56">
        <f t="shared" ref="H70" si="345">G70+1</f>
        <v>2026</v>
      </c>
      <c r="I70" s="56">
        <f>H70+1</f>
        <v>2027</v>
      </c>
      <c r="J70" s="56">
        <f t="shared" ref="J70" si="346">I70+1</f>
        <v>2028</v>
      </c>
      <c r="K70" s="56">
        <f t="shared" ref="K70" si="347">J70+1</f>
        <v>2029</v>
      </c>
      <c r="L70" s="56">
        <f>K70+1</f>
        <v>2030</v>
      </c>
      <c r="M70" s="56">
        <f>L70+1</f>
        <v>2031</v>
      </c>
      <c r="N70" s="56">
        <v>2040</v>
      </c>
      <c r="O70" s="56">
        <v>2050</v>
      </c>
      <c r="P70" s="56">
        <v>2060</v>
      </c>
    </row>
    <row r="71" spans="1:39" x14ac:dyDescent="0.25">
      <c r="B71" s="57" t="s">
        <v>86</v>
      </c>
      <c r="C71" s="89">
        <f ca="1">ROUND(OFFSET(INDIRECT($A66&amp;"!P$5"),0,C$1-1)/8.76*(1+S$8),0)</f>
        <v>733</v>
      </c>
      <c r="D71" s="90">
        <f t="shared" ref="D71" ca="1" si="348">ROUND(OFFSET(INDIRECT($A66&amp;"!P$5"),0,D$1-1)/8.76*(1+T$8),0)</f>
        <v>764</v>
      </c>
      <c r="E71" s="90">
        <f t="shared" ref="E71" ca="1" si="349">ROUND(OFFSET(INDIRECT($A66&amp;"!P$5"),0,E$1-1)/8.76*(1+U$8),0)</f>
        <v>796</v>
      </c>
      <c r="F71" s="90">
        <f t="shared" ref="F71" ca="1" si="350">ROUND(OFFSET(INDIRECT($A66&amp;"!P$5"),0,F$1-1)/8.76*(1+V$8),0)</f>
        <v>829</v>
      </c>
      <c r="G71" s="90">
        <f t="shared" ref="G71" ca="1" si="351">ROUND(OFFSET(INDIRECT($A66&amp;"!P$5"),0,G$1-1)/8.76*(1+W$8),0)</f>
        <v>864</v>
      </c>
      <c r="H71" s="90">
        <f t="shared" ref="H71" ca="1" si="352">ROUND(OFFSET(INDIRECT($A66&amp;"!P$5"),0,H$1-1)/8.76*(1+X$8),0)</f>
        <v>900</v>
      </c>
      <c r="I71" s="90">
        <f t="shared" ref="I71" ca="1" si="353">ROUND(OFFSET(INDIRECT($A66&amp;"!P$5"),0,I$1-1)/8.76*(1+Y$8),0)</f>
        <v>937</v>
      </c>
      <c r="J71" s="90">
        <f t="shared" ref="J71" ca="1" si="354">ROUND(OFFSET(INDIRECT($A66&amp;"!P$5"),0,J$1-1)/8.76*(1+Z$8),0)</f>
        <v>976</v>
      </c>
      <c r="K71" s="90">
        <f t="shared" ref="K71" ca="1" si="355">ROUND(OFFSET(INDIRECT($A66&amp;"!P$5"),0,K$1-1)/8.76*(1+AA$8),0)</f>
        <v>1017</v>
      </c>
      <c r="L71" s="90">
        <f t="shared" ref="L71" ca="1" si="356">ROUND(OFFSET(INDIRECT($A66&amp;"!P$5"),0,L$1-1)/8.76*(1+AB$8),0)</f>
        <v>1060</v>
      </c>
      <c r="M71" s="90">
        <f t="shared" ref="M71" ca="1" si="357">ROUND(OFFSET(INDIRECT($A66&amp;"!P$5"),0,M$1-1)/8.76*(1+AC$8),0)</f>
        <v>1113</v>
      </c>
      <c r="N71" s="90">
        <f t="shared" ref="N71" ca="1" si="358">ROUND(OFFSET(INDIRECT($A66&amp;"!P$5"),0,N$1-1)/8.76*(1+AD$8),0)</f>
        <v>1726</v>
      </c>
      <c r="O71" s="90">
        <f t="shared" ref="O71" ca="1" si="359">ROUND(OFFSET(INDIRECT($A66&amp;"!P$5"),0,O$1-1)/8.76*(1+AE$8),0)</f>
        <v>2582</v>
      </c>
      <c r="P71" s="59">
        <f t="shared" ref="P71" ca="1" si="360">ROUND(OFFSET(INDIRECT($A66&amp;"!P$5"),0,P$1-1)/8.76*(1+AF$8),0)</f>
        <v>2582</v>
      </c>
    </row>
    <row r="73" spans="1:39" x14ac:dyDescent="0.25">
      <c r="A73" t="s">
        <v>105</v>
      </c>
      <c r="B73" s="63" t="str">
        <f>VLOOKUP(A73,$A$88:$B$99,2,FALSE)</f>
        <v>Zambia</v>
      </c>
      <c r="N73" t="str">
        <f ca="1">O73&amp;" "&amp;P73&amp;" "&amp;Q73&amp;" "&amp;R73&amp;" "&amp;S73&amp;" "&amp;T73&amp;" "&amp;U73&amp;" "&amp;V73&amp;" "&amp;W73&amp;" "&amp;X73&amp;" "&amp;Y73&amp;" "&amp;Z73&amp;" "&amp;AA73&amp;" "&amp;AB73&amp;" "&amp;AC73&amp;" "&amp;AD73&amp;" "&amp;AE73&amp;" "&amp;AF73&amp;" "&amp;AG73&amp;" "&amp;AH73&amp;" "&amp;AI73&amp;" "&amp;AJ73&amp;" "&amp;AK73&amp;" "&amp;AL73&amp;" "&amp;AM73</f>
        <v>1311 1379 1407 1429 1451 1474 1497 1520 1540 1559 1569 1599 1618 1628 1658 1678 1698 1718 1739 1760 1781 1870 2901 4725 4725</v>
      </c>
      <c r="O73" s="88">
        <f t="shared" ref="O73:Y73" ca="1" si="361">C76</f>
        <v>1311</v>
      </c>
      <c r="P73" s="88">
        <f t="shared" ca="1" si="361"/>
        <v>1379</v>
      </c>
      <c r="Q73" s="88">
        <f t="shared" ca="1" si="361"/>
        <v>1407</v>
      </c>
      <c r="R73" s="88">
        <f t="shared" ca="1" si="361"/>
        <v>1429</v>
      </c>
      <c r="S73" s="88">
        <f t="shared" ca="1" si="361"/>
        <v>1451</v>
      </c>
      <c r="T73" s="88">
        <f t="shared" ca="1" si="361"/>
        <v>1474</v>
      </c>
      <c r="U73" s="88">
        <f t="shared" ca="1" si="361"/>
        <v>1497</v>
      </c>
      <c r="V73" s="88">
        <f t="shared" ca="1" si="361"/>
        <v>1520</v>
      </c>
      <c r="W73" s="88">
        <f t="shared" ca="1" si="361"/>
        <v>1540</v>
      </c>
      <c r="X73" s="88">
        <f t="shared" ca="1" si="361"/>
        <v>1559</v>
      </c>
      <c r="Y73" s="88">
        <f t="shared" ca="1" si="361"/>
        <v>1569</v>
      </c>
      <c r="Z73" s="88">
        <f t="shared" ref="Z73:AM73" ca="1" si="362">C78</f>
        <v>1599</v>
      </c>
      <c r="AA73" s="88">
        <f t="shared" ca="1" si="362"/>
        <v>1618</v>
      </c>
      <c r="AB73" s="88">
        <f t="shared" ca="1" si="362"/>
        <v>1628</v>
      </c>
      <c r="AC73" s="88">
        <f t="shared" ca="1" si="362"/>
        <v>1658</v>
      </c>
      <c r="AD73" s="88">
        <f t="shared" ca="1" si="362"/>
        <v>1678</v>
      </c>
      <c r="AE73" s="88">
        <f t="shared" ca="1" si="362"/>
        <v>1698</v>
      </c>
      <c r="AF73" s="88">
        <f t="shared" ca="1" si="362"/>
        <v>1718</v>
      </c>
      <c r="AG73" s="88">
        <f t="shared" ca="1" si="362"/>
        <v>1739</v>
      </c>
      <c r="AH73" s="88">
        <f t="shared" ca="1" si="362"/>
        <v>1760</v>
      </c>
      <c r="AI73" s="88">
        <f t="shared" ca="1" si="362"/>
        <v>1781</v>
      </c>
      <c r="AJ73" s="88">
        <f t="shared" ca="1" si="362"/>
        <v>1870</v>
      </c>
      <c r="AK73" s="88">
        <f t="shared" ca="1" si="362"/>
        <v>2901</v>
      </c>
      <c r="AL73" s="88">
        <f t="shared" ca="1" si="362"/>
        <v>4725</v>
      </c>
      <c r="AM73" s="88">
        <f t="shared" ca="1" si="362"/>
        <v>4725</v>
      </c>
    </row>
    <row r="74" spans="1:39" ht="15.75" thickBot="1" x14ac:dyDescent="0.3">
      <c r="B74" s="62" t="s">
        <v>87</v>
      </c>
      <c r="M74" s="87"/>
    </row>
    <row r="75" spans="1:39" ht="15.75" thickTop="1" x14ac:dyDescent="0.25">
      <c r="B75" s="54" t="s">
        <v>85</v>
      </c>
      <c r="C75" s="55">
        <v>2010</v>
      </c>
      <c r="D75" s="56">
        <f>C75+1</f>
        <v>2011</v>
      </c>
      <c r="E75" s="56">
        <f t="shared" ref="E75" si="363">D75+1</f>
        <v>2012</v>
      </c>
      <c r="F75" s="56">
        <f t="shared" ref="F75" si="364">E75+1</f>
        <v>2013</v>
      </c>
      <c r="G75" s="56">
        <f t="shared" ref="G75" si="365">F75+1</f>
        <v>2014</v>
      </c>
      <c r="H75" s="56">
        <f t="shared" ref="H75" si="366">G75+1</f>
        <v>2015</v>
      </c>
      <c r="I75" s="56">
        <f t="shared" ref="I75" si="367">H75+1</f>
        <v>2016</v>
      </c>
      <c r="J75" s="56">
        <f t="shared" ref="J75" si="368">I75+1</f>
        <v>2017</v>
      </c>
      <c r="K75" s="56">
        <f t="shared" ref="K75" si="369">J75+1</f>
        <v>2018</v>
      </c>
      <c r="L75" s="56">
        <f t="shared" ref="L75" si="370">K75+1</f>
        <v>2019</v>
      </c>
      <c r="M75" s="56">
        <f>L75+1</f>
        <v>2020</v>
      </c>
    </row>
    <row r="76" spans="1:39" x14ac:dyDescent="0.25">
      <c r="B76" s="57" t="s">
        <v>86</v>
      </c>
      <c r="C76" s="58">
        <f ca="1">ROUND(OFFSET(INDIRECT($A73&amp;"!D$5"),0,C$1)/8.76*(1+S$6),0)</f>
        <v>1311</v>
      </c>
      <c r="D76" s="59">
        <f t="shared" ref="D76" ca="1" si="371">ROUND(OFFSET(INDIRECT($A73&amp;"!D$5"),0,D$1)/8.76*(1+T$6),0)</f>
        <v>1379</v>
      </c>
      <c r="E76" s="59">
        <f t="shared" ref="E76" ca="1" si="372">ROUND(OFFSET(INDIRECT($A73&amp;"!D$5"),0,E$1)/8.76*(1+U$6),0)</f>
        <v>1407</v>
      </c>
      <c r="F76" s="59">
        <f t="shared" ref="F76" ca="1" si="373">ROUND(OFFSET(INDIRECT($A73&amp;"!D$5"),0,F$1)/8.76*(1+V$6),0)</f>
        <v>1429</v>
      </c>
      <c r="G76" s="59">
        <f t="shared" ref="G76" ca="1" si="374">ROUND(OFFSET(INDIRECT($A73&amp;"!D$5"),0,G$1)/8.76*(1+W$6),0)</f>
        <v>1451</v>
      </c>
      <c r="H76" s="59">
        <f t="shared" ref="H76" ca="1" si="375">ROUND(OFFSET(INDIRECT($A73&amp;"!D$5"),0,H$1)/8.76*(1+X$6),0)</f>
        <v>1474</v>
      </c>
      <c r="I76" s="59">
        <f t="shared" ref="I76" ca="1" si="376">ROUND(OFFSET(INDIRECT($A73&amp;"!D$5"),0,I$1)/8.76*(1+Y$6),0)</f>
        <v>1497</v>
      </c>
      <c r="J76" s="59">
        <f t="shared" ref="J76" ca="1" si="377">ROUND(OFFSET(INDIRECT($A73&amp;"!D$5"),0,J$1)/8.76*(1+Z$6),0)</f>
        <v>1520</v>
      </c>
      <c r="K76" s="59">
        <f t="shared" ref="K76" ca="1" si="378">ROUND(OFFSET(INDIRECT($A73&amp;"!D$5"),0,K$1)/8.76*(1+AA$6),0)</f>
        <v>1540</v>
      </c>
      <c r="L76" s="59">
        <f t="shared" ref="L76" ca="1" si="379">ROUND(OFFSET(INDIRECT($A73&amp;"!D$5"),0,L$1)/8.76*(1+AB$6),0)</f>
        <v>1559</v>
      </c>
      <c r="M76" s="59">
        <f t="shared" ref="M76" ca="1" si="380">ROUND(OFFSET(INDIRECT($A73&amp;"!D$5"),0,M$1)/8.76*(1+AC$6),0)</f>
        <v>1569</v>
      </c>
      <c r="Q76" s="59"/>
      <c r="R76" s="59"/>
      <c r="S76" s="59"/>
      <c r="T76" s="59"/>
      <c r="U76" s="59"/>
      <c r="V76" s="59"/>
      <c r="W76" s="59"/>
      <c r="X76" s="59"/>
      <c r="Y76" s="60"/>
    </row>
    <row r="77" spans="1:39" x14ac:dyDescent="0.25">
      <c r="B77" s="61" t="s">
        <v>85</v>
      </c>
      <c r="C77" s="55">
        <f>M75+1</f>
        <v>2021</v>
      </c>
      <c r="D77" s="56">
        <f>C77+1</f>
        <v>2022</v>
      </c>
      <c r="E77" s="56">
        <f t="shared" ref="E77" si="381">D77+1</f>
        <v>2023</v>
      </c>
      <c r="F77" s="56">
        <f t="shared" ref="F77" si="382">E77+1</f>
        <v>2024</v>
      </c>
      <c r="G77" s="56">
        <f t="shared" ref="G77" si="383">F77+1</f>
        <v>2025</v>
      </c>
      <c r="H77" s="56">
        <f t="shared" ref="H77" si="384">G77+1</f>
        <v>2026</v>
      </c>
      <c r="I77" s="56">
        <f>H77+1</f>
        <v>2027</v>
      </c>
      <c r="J77" s="56">
        <f t="shared" ref="J77" si="385">I77+1</f>
        <v>2028</v>
      </c>
      <c r="K77" s="56">
        <f t="shared" ref="K77" si="386">J77+1</f>
        <v>2029</v>
      </c>
      <c r="L77" s="56">
        <f>K77+1</f>
        <v>2030</v>
      </c>
      <c r="M77" s="56">
        <f>L77+1</f>
        <v>2031</v>
      </c>
      <c r="N77" s="56">
        <v>2040</v>
      </c>
      <c r="O77" s="56">
        <v>2050</v>
      </c>
      <c r="P77" s="56">
        <v>2060</v>
      </c>
    </row>
    <row r="78" spans="1:39" x14ac:dyDescent="0.25">
      <c r="B78" s="57" t="s">
        <v>86</v>
      </c>
      <c r="C78" s="89">
        <f ca="1">ROUND(OFFSET(INDIRECT($A73&amp;"!P$5"),0,C$1-1)/8.76*(1+S$8),0)</f>
        <v>1599</v>
      </c>
      <c r="D78" s="90">
        <f t="shared" ref="D78" ca="1" si="387">ROUND(OFFSET(INDIRECT($A73&amp;"!P$5"),0,D$1-1)/8.76*(1+T$8),0)</f>
        <v>1618</v>
      </c>
      <c r="E78" s="90">
        <f t="shared" ref="E78" ca="1" si="388">ROUND(OFFSET(INDIRECT($A73&amp;"!P$5"),0,E$1-1)/8.76*(1+U$8),0)</f>
        <v>1628</v>
      </c>
      <c r="F78" s="90">
        <f t="shared" ref="F78" ca="1" si="389">ROUND(OFFSET(INDIRECT($A73&amp;"!P$5"),0,F$1-1)/8.76*(1+V$8),0)</f>
        <v>1658</v>
      </c>
      <c r="G78" s="90">
        <f t="shared" ref="G78" ca="1" si="390">ROUND(OFFSET(INDIRECT($A73&amp;"!P$5"),0,G$1-1)/8.76*(1+W$8),0)</f>
        <v>1678</v>
      </c>
      <c r="H78" s="90">
        <f t="shared" ref="H78" ca="1" si="391">ROUND(OFFSET(INDIRECT($A73&amp;"!P$5"),0,H$1-1)/8.76*(1+X$8),0)</f>
        <v>1698</v>
      </c>
      <c r="I78" s="90">
        <f t="shared" ref="I78" ca="1" si="392">ROUND(OFFSET(INDIRECT($A73&amp;"!P$5"),0,I$1-1)/8.76*(1+Y$8),0)</f>
        <v>1718</v>
      </c>
      <c r="J78" s="90">
        <f t="shared" ref="J78" ca="1" si="393">ROUND(OFFSET(INDIRECT($A73&amp;"!P$5"),0,J$1-1)/8.76*(1+Z$8),0)</f>
        <v>1739</v>
      </c>
      <c r="K78" s="90">
        <f t="shared" ref="K78" ca="1" si="394">ROUND(OFFSET(INDIRECT($A73&amp;"!P$5"),0,K$1-1)/8.76*(1+AA$8),0)</f>
        <v>1760</v>
      </c>
      <c r="L78" s="90">
        <f t="shared" ref="L78" ca="1" si="395">ROUND(OFFSET(INDIRECT($A73&amp;"!P$5"),0,L$1-1)/8.76*(1+AB$8),0)</f>
        <v>1781</v>
      </c>
      <c r="M78" s="90">
        <f t="shared" ref="M78" ca="1" si="396">ROUND(OFFSET(INDIRECT($A73&amp;"!P$5"),0,M$1-1)/8.76*(1+AC$8),0)</f>
        <v>1870</v>
      </c>
      <c r="N78" s="90">
        <f t="shared" ref="N78" ca="1" si="397">ROUND(OFFSET(INDIRECT($A73&amp;"!P$5"),0,N$1-1)/8.76*(1+AD$8),0)</f>
        <v>2901</v>
      </c>
      <c r="O78" s="90">
        <f t="shared" ref="O78" ca="1" si="398">ROUND(OFFSET(INDIRECT($A73&amp;"!P$5"),0,O$1-1)/8.76*(1+AE$8),0)</f>
        <v>4725</v>
      </c>
      <c r="P78" s="59">
        <f t="shared" ref="P78" ca="1" si="399">ROUND(OFFSET(INDIRECT($A73&amp;"!P$5"),0,P$1-1)/8.76*(1+AF$8),0)</f>
        <v>4725</v>
      </c>
    </row>
    <row r="80" spans="1:39" x14ac:dyDescent="0.25">
      <c r="A80" t="s">
        <v>106</v>
      </c>
      <c r="B80" s="63" t="str">
        <f>VLOOKUP(A80,$A$88:$B$99,2,FALSE)</f>
        <v>Zimbabwe</v>
      </c>
      <c r="N80" t="str">
        <f ca="1">O80&amp;" "&amp;P80&amp;" "&amp;Q80&amp;" "&amp;R80&amp;" "&amp;S80&amp;" "&amp;T80&amp;" "&amp;U80&amp;" "&amp;V80&amp;" "&amp;W80&amp;" "&amp;X80&amp;" "&amp;Y80&amp;" "&amp;Z80&amp;" "&amp;AA80&amp;" "&amp;AB80&amp;" "&amp;AC80&amp;" "&amp;AD80&amp;" "&amp;AE80&amp;" "&amp;AF80&amp;" "&amp;AG80&amp;" "&amp;AH80&amp;" "&amp;AI80&amp;" "&amp;AJ80&amp;" "&amp;AK80&amp;" "&amp;AL80&amp;" "&amp;AM80</f>
        <v>1283 1319 1357 1397 1439 1486 1536 1587 1640 1695 1752 1811 1871 1934 1999 2066 2136 2208 2282 2359 2439 2536 3610 5343 5343</v>
      </c>
      <c r="O80" s="88">
        <f t="shared" ref="O80:Y80" ca="1" si="400">C83</f>
        <v>1283</v>
      </c>
      <c r="P80" s="88">
        <f t="shared" ca="1" si="400"/>
        <v>1319</v>
      </c>
      <c r="Q80" s="88">
        <f t="shared" ca="1" si="400"/>
        <v>1357</v>
      </c>
      <c r="R80" s="88">
        <f t="shared" ca="1" si="400"/>
        <v>1397</v>
      </c>
      <c r="S80" s="88">
        <f t="shared" ca="1" si="400"/>
        <v>1439</v>
      </c>
      <c r="T80" s="88">
        <f t="shared" ca="1" si="400"/>
        <v>1486</v>
      </c>
      <c r="U80" s="88">
        <f t="shared" ca="1" si="400"/>
        <v>1536</v>
      </c>
      <c r="V80" s="88">
        <f t="shared" ca="1" si="400"/>
        <v>1587</v>
      </c>
      <c r="W80" s="88">
        <f t="shared" ca="1" si="400"/>
        <v>1640</v>
      </c>
      <c r="X80" s="88">
        <f t="shared" ca="1" si="400"/>
        <v>1695</v>
      </c>
      <c r="Y80" s="88">
        <f t="shared" ca="1" si="400"/>
        <v>1752</v>
      </c>
      <c r="Z80" s="88">
        <f t="shared" ref="Z80:AM80" ca="1" si="401">C85</f>
        <v>1811</v>
      </c>
      <c r="AA80" s="88">
        <f t="shared" ca="1" si="401"/>
        <v>1871</v>
      </c>
      <c r="AB80" s="88">
        <f t="shared" ca="1" si="401"/>
        <v>1934</v>
      </c>
      <c r="AC80" s="88">
        <f t="shared" ca="1" si="401"/>
        <v>1999</v>
      </c>
      <c r="AD80" s="88">
        <f t="shared" ca="1" si="401"/>
        <v>2066</v>
      </c>
      <c r="AE80" s="88">
        <f t="shared" ca="1" si="401"/>
        <v>2136</v>
      </c>
      <c r="AF80" s="88">
        <f t="shared" ca="1" si="401"/>
        <v>2208</v>
      </c>
      <c r="AG80" s="88">
        <f t="shared" ca="1" si="401"/>
        <v>2282</v>
      </c>
      <c r="AH80" s="88">
        <f t="shared" ca="1" si="401"/>
        <v>2359</v>
      </c>
      <c r="AI80" s="88">
        <f t="shared" ca="1" si="401"/>
        <v>2439</v>
      </c>
      <c r="AJ80" s="88">
        <f t="shared" ca="1" si="401"/>
        <v>2536</v>
      </c>
      <c r="AK80" s="88">
        <f t="shared" ca="1" si="401"/>
        <v>3610</v>
      </c>
      <c r="AL80" s="88">
        <f t="shared" ca="1" si="401"/>
        <v>5343</v>
      </c>
      <c r="AM80" s="88">
        <f t="shared" ca="1" si="401"/>
        <v>5343</v>
      </c>
    </row>
    <row r="81" spans="1:27" ht="15.75" thickBot="1" x14ac:dyDescent="0.3">
      <c r="B81" s="62" t="s">
        <v>87</v>
      </c>
      <c r="M81" s="87"/>
    </row>
    <row r="82" spans="1:27" ht="15.75" thickTop="1" x14ac:dyDescent="0.25">
      <c r="B82" s="54" t="s">
        <v>85</v>
      </c>
      <c r="C82" s="55">
        <v>2010</v>
      </c>
      <c r="D82" s="56">
        <f>C82+1</f>
        <v>2011</v>
      </c>
      <c r="E82" s="56">
        <f t="shared" ref="E82" si="402">D82+1</f>
        <v>2012</v>
      </c>
      <c r="F82" s="56">
        <f t="shared" ref="F82" si="403">E82+1</f>
        <v>2013</v>
      </c>
      <c r="G82" s="56">
        <f t="shared" ref="G82" si="404">F82+1</f>
        <v>2014</v>
      </c>
      <c r="H82" s="56">
        <f t="shared" ref="H82" si="405">G82+1</f>
        <v>2015</v>
      </c>
      <c r="I82" s="56">
        <f t="shared" ref="I82" si="406">H82+1</f>
        <v>2016</v>
      </c>
      <c r="J82" s="56">
        <f t="shared" ref="J82" si="407">I82+1</f>
        <v>2017</v>
      </c>
      <c r="K82" s="56">
        <f t="shared" ref="K82" si="408">J82+1</f>
        <v>2018</v>
      </c>
      <c r="L82" s="56">
        <f t="shared" ref="L82" si="409">K82+1</f>
        <v>2019</v>
      </c>
      <c r="M82" s="56">
        <f>L82+1</f>
        <v>2020</v>
      </c>
    </row>
    <row r="83" spans="1:27" x14ac:dyDescent="0.25">
      <c r="B83" s="57" t="s">
        <v>86</v>
      </c>
      <c r="C83" s="58">
        <f ca="1">ROUND(OFFSET(INDIRECT($A80&amp;"!D$5"),0,C$1)/8.76*(1+S$6),0)</f>
        <v>1283</v>
      </c>
      <c r="D83" s="59">
        <f t="shared" ref="D83" ca="1" si="410">ROUND(OFFSET(INDIRECT($A80&amp;"!D$5"),0,D$1)/8.76*(1+T$6),0)</f>
        <v>1319</v>
      </c>
      <c r="E83" s="59">
        <f t="shared" ref="E83" ca="1" si="411">ROUND(OFFSET(INDIRECT($A80&amp;"!D$5"),0,E$1)/8.76*(1+U$6),0)</f>
        <v>1357</v>
      </c>
      <c r="F83" s="59">
        <f t="shared" ref="F83" ca="1" si="412">ROUND(OFFSET(INDIRECT($A80&amp;"!D$5"),0,F$1)/8.76*(1+V$6),0)</f>
        <v>1397</v>
      </c>
      <c r="G83" s="59">
        <f t="shared" ref="G83" ca="1" si="413">ROUND(OFFSET(INDIRECT($A80&amp;"!D$5"),0,G$1)/8.76*(1+W$6),0)</f>
        <v>1439</v>
      </c>
      <c r="H83" s="59">
        <f t="shared" ref="H83" ca="1" si="414">ROUND(OFFSET(INDIRECT($A80&amp;"!D$5"),0,H$1)/8.76*(1+X$6),0)</f>
        <v>1486</v>
      </c>
      <c r="I83" s="59">
        <f t="shared" ref="I83" ca="1" si="415">ROUND(OFFSET(INDIRECT($A80&amp;"!D$5"),0,I$1)/8.76*(1+Y$6),0)</f>
        <v>1536</v>
      </c>
      <c r="J83" s="59">
        <f t="shared" ref="J83" ca="1" si="416">ROUND(OFFSET(INDIRECT($A80&amp;"!D$5"),0,J$1)/8.76*(1+Z$6),0)</f>
        <v>1587</v>
      </c>
      <c r="K83" s="59">
        <f t="shared" ref="K83" ca="1" si="417">ROUND(OFFSET(INDIRECT($A80&amp;"!D$5"),0,K$1)/8.76*(1+AA$6),0)</f>
        <v>1640</v>
      </c>
      <c r="L83" s="59">
        <f t="shared" ref="L83" ca="1" si="418">ROUND(OFFSET(INDIRECT($A80&amp;"!D$5"),0,L$1)/8.76*(1+AB$6),0)</f>
        <v>1695</v>
      </c>
      <c r="M83" s="59">
        <f t="shared" ref="M83" ca="1" si="419">ROUND(OFFSET(INDIRECT($A80&amp;"!D$5"),0,M$1)/8.76*(1+AC$6),0)</f>
        <v>1752</v>
      </c>
    </row>
    <row r="84" spans="1:27" x14ac:dyDescent="0.25">
      <c r="B84" s="61" t="s">
        <v>85</v>
      </c>
      <c r="C84" s="55">
        <f>M82+1</f>
        <v>2021</v>
      </c>
      <c r="D84" s="56">
        <f>C84+1</f>
        <v>2022</v>
      </c>
      <c r="E84" s="56">
        <f t="shared" ref="E84" si="420">D84+1</f>
        <v>2023</v>
      </c>
      <c r="F84" s="56">
        <f t="shared" ref="F84" si="421">E84+1</f>
        <v>2024</v>
      </c>
      <c r="G84" s="56">
        <f t="shared" ref="G84" si="422">F84+1</f>
        <v>2025</v>
      </c>
      <c r="H84" s="56">
        <f t="shared" ref="H84" si="423">G84+1</f>
        <v>2026</v>
      </c>
      <c r="I84" s="56">
        <f>H84+1</f>
        <v>2027</v>
      </c>
      <c r="J84" s="56">
        <f t="shared" ref="J84" si="424">I84+1</f>
        <v>2028</v>
      </c>
      <c r="K84" s="56">
        <f t="shared" ref="K84" si="425">J84+1</f>
        <v>2029</v>
      </c>
      <c r="L84" s="56">
        <f>K84+1</f>
        <v>2030</v>
      </c>
      <c r="M84" s="56">
        <f>L84+1</f>
        <v>2031</v>
      </c>
      <c r="N84" s="56">
        <v>2040</v>
      </c>
      <c r="O84" s="56">
        <v>2050</v>
      </c>
      <c r="P84" s="56">
        <v>2060</v>
      </c>
    </row>
    <row r="85" spans="1:27" x14ac:dyDescent="0.25">
      <c r="B85" s="57" t="s">
        <v>86</v>
      </c>
      <c r="C85" s="89">
        <f ca="1">ROUND(OFFSET(INDIRECT($A80&amp;"!P$5"),0,C$1-1)/8.76*(1+S$8),0)</f>
        <v>1811</v>
      </c>
      <c r="D85" s="90">
        <f t="shared" ref="D85" ca="1" si="426">ROUND(OFFSET(INDIRECT($A80&amp;"!P$5"),0,D$1-1)/8.76*(1+T$8),0)</f>
        <v>1871</v>
      </c>
      <c r="E85" s="90">
        <f t="shared" ref="E85" ca="1" si="427">ROUND(OFFSET(INDIRECT($A80&amp;"!P$5"),0,E$1-1)/8.76*(1+U$8),0)</f>
        <v>1934</v>
      </c>
      <c r="F85" s="90">
        <f t="shared" ref="F85" ca="1" si="428">ROUND(OFFSET(INDIRECT($A80&amp;"!P$5"),0,F$1-1)/8.76*(1+V$8),0)</f>
        <v>1999</v>
      </c>
      <c r="G85" s="90">
        <f t="shared" ref="G85" ca="1" si="429">ROUND(OFFSET(INDIRECT($A80&amp;"!P$5"),0,G$1-1)/8.76*(1+W$8),0)</f>
        <v>2066</v>
      </c>
      <c r="H85" s="90">
        <f t="shared" ref="H85" ca="1" si="430">ROUND(OFFSET(INDIRECT($A80&amp;"!P$5"),0,H$1-1)/8.76*(1+X$8),0)</f>
        <v>2136</v>
      </c>
      <c r="I85" s="90">
        <f t="shared" ref="I85" ca="1" si="431">ROUND(OFFSET(INDIRECT($A80&amp;"!P$5"),0,I$1-1)/8.76*(1+Y$8),0)</f>
        <v>2208</v>
      </c>
      <c r="J85" s="90">
        <f t="shared" ref="J85" ca="1" si="432">ROUND(OFFSET(INDIRECT($A80&amp;"!P$5"),0,J$1-1)/8.76*(1+Z$8),0)</f>
        <v>2282</v>
      </c>
      <c r="K85" s="90">
        <f t="shared" ref="K85" ca="1" si="433">ROUND(OFFSET(INDIRECT($A80&amp;"!P$5"),0,K$1-1)/8.76*(1+AA$8),0)</f>
        <v>2359</v>
      </c>
      <c r="L85" s="90">
        <f t="shared" ref="L85" ca="1" si="434">ROUND(OFFSET(INDIRECT($A80&amp;"!P$5"),0,L$1-1)/8.76*(1+AB$8),0)</f>
        <v>2439</v>
      </c>
      <c r="M85" s="90">
        <f t="shared" ref="M85" ca="1" si="435">ROUND(OFFSET(INDIRECT($A80&amp;"!P$5"),0,M$1-1)/8.76*(1+AC$8),0)</f>
        <v>2536</v>
      </c>
      <c r="N85" s="90">
        <f t="shared" ref="N85" ca="1" si="436">ROUND(OFFSET(INDIRECT($A80&amp;"!P$5"),0,N$1-1)/8.76*(1+AD$8),0)</f>
        <v>3610</v>
      </c>
      <c r="O85" s="90">
        <f t="shared" ref="O85" ca="1" si="437">ROUND(OFFSET(INDIRECT($A80&amp;"!P$5"),0,O$1-1)/8.76*(1+AE$8),0)</f>
        <v>5343</v>
      </c>
      <c r="P85" s="59">
        <f t="shared" ref="P85" ca="1" si="438">ROUND(OFFSET(INDIRECT($A80&amp;"!P$5"),0,P$1-1)/8.76*(1+AF$8),0)</f>
        <v>5343</v>
      </c>
    </row>
    <row r="88" spans="1:27" x14ac:dyDescent="0.25">
      <c r="A88" t="s">
        <v>97</v>
      </c>
      <c r="B88" t="s">
        <v>13</v>
      </c>
      <c r="C88">
        <f ca="1">SUMIF($A$3:$A$85,$A88,O$3:O$85)</f>
        <v>615</v>
      </c>
      <c r="D88">
        <f t="shared" ref="D88:AA95" ca="1" si="439">SUMIF($A$3:$A$85,$A88,P$3:P$85)</f>
        <v>672</v>
      </c>
      <c r="E88">
        <f t="shared" ca="1" si="439"/>
        <v>729</v>
      </c>
      <c r="F88">
        <f t="shared" ca="1" si="439"/>
        <v>788</v>
      </c>
      <c r="G88">
        <f t="shared" ca="1" si="439"/>
        <v>851</v>
      </c>
      <c r="H88">
        <f t="shared" ca="1" si="439"/>
        <v>916</v>
      </c>
      <c r="I88">
        <f t="shared" ca="1" si="439"/>
        <v>973</v>
      </c>
      <c r="J88">
        <f t="shared" ca="1" si="439"/>
        <v>1034</v>
      </c>
      <c r="K88">
        <f t="shared" ca="1" si="439"/>
        <v>1098</v>
      </c>
      <c r="L88">
        <f t="shared" ca="1" si="439"/>
        <v>1165</v>
      </c>
      <c r="M88">
        <f t="shared" ca="1" si="439"/>
        <v>1230</v>
      </c>
      <c r="N88">
        <f t="shared" ca="1" si="439"/>
        <v>1297</v>
      </c>
      <c r="O88">
        <f t="shared" ca="1" si="439"/>
        <v>1366</v>
      </c>
      <c r="P88">
        <f t="shared" ca="1" si="439"/>
        <v>1437</v>
      </c>
      <c r="Q88">
        <f t="shared" ca="1" si="439"/>
        <v>1511</v>
      </c>
      <c r="R88">
        <f t="shared" ca="1" si="439"/>
        <v>1586</v>
      </c>
      <c r="S88">
        <f t="shared" ca="1" si="439"/>
        <v>1665</v>
      </c>
      <c r="T88">
        <f t="shared" ca="1" si="439"/>
        <v>1748</v>
      </c>
      <c r="U88">
        <f t="shared" ca="1" si="439"/>
        <v>1836</v>
      </c>
      <c r="V88">
        <f t="shared" ca="1" si="439"/>
        <v>1927</v>
      </c>
      <c r="W88">
        <f t="shared" ca="1" si="439"/>
        <v>2023</v>
      </c>
      <c r="X88">
        <f t="shared" ca="1" si="439"/>
        <v>2078</v>
      </c>
      <c r="Y88">
        <f t="shared" ca="1" si="439"/>
        <v>2642</v>
      </c>
      <c r="Z88">
        <f t="shared" ca="1" si="439"/>
        <v>2958</v>
      </c>
      <c r="AA88">
        <f t="shared" ca="1" si="439"/>
        <v>2958</v>
      </c>
    </row>
    <row r="89" spans="1:27" x14ac:dyDescent="0.25">
      <c r="A89" t="s">
        <v>98</v>
      </c>
      <c r="B89" t="s">
        <v>14</v>
      </c>
      <c r="C89">
        <f t="shared" ref="C89:C99" ca="1" si="440">SUMIF($A$3:$A$85,$A89,O$3:O$85)</f>
        <v>408</v>
      </c>
      <c r="D89">
        <f t="shared" ca="1" si="439"/>
        <v>441</v>
      </c>
      <c r="E89">
        <f t="shared" ca="1" si="439"/>
        <v>452</v>
      </c>
      <c r="F89">
        <f t="shared" ca="1" si="439"/>
        <v>479</v>
      </c>
      <c r="G89">
        <f t="shared" ca="1" si="439"/>
        <v>502</v>
      </c>
      <c r="H89">
        <f t="shared" ca="1" si="439"/>
        <v>514</v>
      </c>
      <c r="I89">
        <f t="shared" ca="1" si="439"/>
        <v>525</v>
      </c>
      <c r="J89">
        <f t="shared" ca="1" si="439"/>
        <v>574</v>
      </c>
      <c r="K89">
        <f t="shared" ca="1" si="439"/>
        <v>606</v>
      </c>
      <c r="L89">
        <f t="shared" ca="1" si="439"/>
        <v>654</v>
      </c>
      <c r="M89">
        <f t="shared" ca="1" si="439"/>
        <v>664</v>
      </c>
      <c r="N89">
        <f t="shared" ca="1" si="439"/>
        <v>674</v>
      </c>
      <c r="O89">
        <f t="shared" ca="1" si="439"/>
        <v>684</v>
      </c>
      <c r="P89">
        <f t="shared" ca="1" si="439"/>
        <v>693</v>
      </c>
      <c r="Q89">
        <f t="shared" ca="1" si="439"/>
        <v>703</v>
      </c>
      <c r="R89">
        <f t="shared" ca="1" si="439"/>
        <v>712</v>
      </c>
      <c r="S89">
        <f t="shared" ca="1" si="439"/>
        <v>721</v>
      </c>
      <c r="T89">
        <f t="shared" ca="1" si="439"/>
        <v>730</v>
      </c>
      <c r="U89">
        <f t="shared" ca="1" si="439"/>
        <v>740</v>
      </c>
      <c r="V89">
        <f t="shared" ca="1" si="439"/>
        <v>749</v>
      </c>
      <c r="W89">
        <f t="shared" ca="1" si="439"/>
        <v>759</v>
      </c>
      <c r="X89">
        <f t="shared" ca="1" si="439"/>
        <v>764</v>
      </c>
      <c r="Y89">
        <f t="shared" ca="1" si="439"/>
        <v>812</v>
      </c>
      <c r="Z89">
        <f t="shared" ca="1" si="439"/>
        <v>833</v>
      </c>
      <c r="AA89">
        <f t="shared" ca="1" si="439"/>
        <v>833</v>
      </c>
    </row>
    <row r="90" spans="1:27" x14ac:dyDescent="0.25">
      <c r="A90" t="s">
        <v>32</v>
      </c>
      <c r="B90" t="s">
        <v>15</v>
      </c>
      <c r="C90">
        <f t="shared" ca="1" si="440"/>
        <v>911</v>
      </c>
      <c r="D90">
        <f t="shared" ca="1" si="439"/>
        <v>949</v>
      </c>
      <c r="E90">
        <f t="shared" ca="1" si="439"/>
        <v>989</v>
      </c>
      <c r="F90">
        <f t="shared" ca="1" si="439"/>
        <v>1030</v>
      </c>
      <c r="G90">
        <f t="shared" ca="1" si="439"/>
        <v>1073</v>
      </c>
      <c r="H90">
        <f t="shared" ca="1" si="439"/>
        <v>1117</v>
      </c>
      <c r="I90">
        <f t="shared" ca="1" si="439"/>
        <v>1159</v>
      </c>
      <c r="J90">
        <f t="shared" ca="1" si="439"/>
        <v>1207</v>
      </c>
      <c r="K90">
        <f t="shared" ca="1" si="439"/>
        <v>1258</v>
      </c>
      <c r="L90">
        <f t="shared" ca="1" si="439"/>
        <v>1310</v>
      </c>
      <c r="M90">
        <f t="shared" ca="1" si="439"/>
        <v>1344</v>
      </c>
      <c r="N90">
        <f t="shared" ca="1" si="439"/>
        <v>1394</v>
      </c>
      <c r="O90">
        <f t="shared" ca="1" si="439"/>
        <v>1452</v>
      </c>
      <c r="P90">
        <f t="shared" ca="1" si="439"/>
        <v>1513</v>
      </c>
      <c r="Q90">
        <f t="shared" ca="1" si="439"/>
        <v>1576</v>
      </c>
      <c r="R90">
        <f t="shared" ca="1" si="439"/>
        <v>1641</v>
      </c>
      <c r="S90">
        <f t="shared" ca="1" si="439"/>
        <v>1710</v>
      </c>
      <c r="T90">
        <f t="shared" ca="1" si="439"/>
        <v>1781</v>
      </c>
      <c r="U90">
        <f t="shared" ca="1" si="439"/>
        <v>1855</v>
      </c>
      <c r="V90">
        <f t="shared" ca="1" si="439"/>
        <v>1932</v>
      </c>
      <c r="W90">
        <f t="shared" ca="1" si="439"/>
        <v>2013</v>
      </c>
      <c r="X90">
        <f t="shared" ca="1" si="439"/>
        <v>2073</v>
      </c>
      <c r="Y90">
        <f t="shared" ca="1" si="439"/>
        <v>2710</v>
      </c>
      <c r="Z90">
        <f t="shared" ca="1" si="439"/>
        <v>2800</v>
      </c>
      <c r="AA90">
        <f t="shared" ca="1" si="439"/>
        <v>2800</v>
      </c>
    </row>
    <row r="91" spans="1:27" x14ac:dyDescent="0.25">
      <c r="A91" t="s">
        <v>99</v>
      </c>
      <c r="B91" t="s">
        <v>16</v>
      </c>
      <c r="C91">
        <f t="shared" ca="1" si="440"/>
        <v>56</v>
      </c>
      <c r="D91">
        <f t="shared" ca="1" si="439"/>
        <v>58</v>
      </c>
      <c r="E91">
        <f t="shared" ca="1" si="439"/>
        <v>61</v>
      </c>
      <c r="F91">
        <f t="shared" ca="1" si="439"/>
        <v>63</v>
      </c>
      <c r="G91">
        <f t="shared" ca="1" si="439"/>
        <v>66</v>
      </c>
      <c r="H91">
        <f t="shared" ca="1" si="439"/>
        <v>69</v>
      </c>
      <c r="I91">
        <f t="shared" ca="1" si="439"/>
        <v>71</v>
      </c>
      <c r="J91">
        <f t="shared" ca="1" si="439"/>
        <v>74</v>
      </c>
      <c r="K91">
        <f t="shared" ca="1" si="439"/>
        <v>77</v>
      </c>
      <c r="L91">
        <f t="shared" ca="1" si="439"/>
        <v>81</v>
      </c>
      <c r="M91">
        <f t="shared" ca="1" si="439"/>
        <v>84</v>
      </c>
      <c r="N91">
        <f t="shared" ca="1" si="439"/>
        <v>88</v>
      </c>
      <c r="O91">
        <f t="shared" ca="1" si="439"/>
        <v>91</v>
      </c>
      <c r="P91">
        <f t="shared" ca="1" si="439"/>
        <v>95</v>
      </c>
      <c r="Q91">
        <f t="shared" ca="1" si="439"/>
        <v>99</v>
      </c>
      <c r="R91">
        <f t="shared" ca="1" si="439"/>
        <v>103</v>
      </c>
      <c r="S91">
        <f t="shared" ca="1" si="439"/>
        <v>107</v>
      </c>
      <c r="T91">
        <f t="shared" ca="1" si="439"/>
        <v>112</v>
      </c>
      <c r="U91">
        <f t="shared" ca="1" si="439"/>
        <v>117</v>
      </c>
      <c r="V91">
        <f t="shared" ca="1" si="439"/>
        <v>122</v>
      </c>
      <c r="W91">
        <f t="shared" ca="1" si="439"/>
        <v>127</v>
      </c>
      <c r="X91">
        <f t="shared" ca="1" si="439"/>
        <v>132</v>
      </c>
      <c r="Y91">
        <f t="shared" ca="1" si="439"/>
        <v>196</v>
      </c>
      <c r="Z91">
        <f t="shared" ca="1" si="439"/>
        <v>306</v>
      </c>
      <c r="AA91">
        <f t="shared" ca="1" si="439"/>
        <v>306</v>
      </c>
    </row>
    <row r="92" spans="1:27" x14ac:dyDescent="0.25">
      <c r="A92" t="s">
        <v>100</v>
      </c>
      <c r="B92" t="s">
        <v>17</v>
      </c>
      <c r="C92">
        <f t="shared" ca="1" si="440"/>
        <v>155</v>
      </c>
      <c r="D92">
        <f t="shared" ca="1" si="439"/>
        <v>191</v>
      </c>
      <c r="E92">
        <f t="shared" ca="1" si="439"/>
        <v>200</v>
      </c>
      <c r="F92">
        <f t="shared" ca="1" si="439"/>
        <v>209</v>
      </c>
      <c r="G92">
        <f t="shared" ca="1" si="439"/>
        <v>219</v>
      </c>
      <c r="H92">
        <f t="shared" ca="1" si="439"/>
        <v>228</v>
      </c>
      <c r="I92">
        <f t="shared" ca="1" si="439"/>
        <v>237</v>
      </c>
      <c r="J92">
        <f t="shared" ca="1" si="439"/>
        <v>246</v>
      </c>
      <c r="K92">
        <f t="shared" ca="1" si="439"/>
        <v>256</v>
      </c>
      <c r="L92">
        <f t="shared" ca="1" si="439"/>
        <v>265</v>
      </c>
      <c r="M92">
        <f t="shared" ca="1" si="439"/>
        <v>275</v>
      </c>
      <c r="N92">
        <f t="shared" ca="1" si="439"/>
        <v>285</v>
      </c>
      <c r="O92">
        <f t="shared" ca="1" si="439"/>
        <v>293</v>
      </c>
      <c r="P92">
        <f t="shared" ca="1" si="439"/>
        <v>302</v>
      </c>
      <c r="Q92">
        <f t="shared" ca="1" si="439"/>
        <v>310</v>
      </c>
      <c r="R92">
        <f t="shared" ca="1" si="439"/>
        <v>320</v>
      </c>
      <c r="S92">
        <f t="shared" ca="1" si="439"/>
        <v>329</v>
      </c>
      <c r="T92">
        <f t="shared" ca="1" si="439"/>
        <v>339</v>
      </c>
      <c r="U92">
        <f t="shared" ca="1" si="439"/>
        <v>349</v>
      </c>
      <c r="V92">
        <f t="shared" ca="1" si="439"/>
        <v>359</v>
      </c>
      <c r="W92">
        <f t="shared" ca="1" si="439"/>
        <v>369</v>
      </c>
      <c r="X92">
        <f t="shared" ca="1" si="439"/>
        <v>388</v>
      </c>
      <c r="Y92">
        <f t="shared" ca="1" si="439"/>
        <v>602</v>
      </c>
      <c r="Z92">
        <f t="shared" ca="1" si="439"/>
        <v>980</v>
      </c>
      <c r="AA92">
        <f t="shared" ca="1" si="439"/>
        <v>980</v>
      </c>
    </row>
    <row r="93" spans="1:27" x14ac:dyDescent="0.25">
      <c r="A93" t="s">
        <v>101</v>
      </c>
      <c r="B93" t="s">
        <v>18</v>
      </c>
      <c r="C93">
        <f t="shared" ca="1" si="440"/>
        <v>365</v>
      </c>
      <c r="D93">
        <f t="shared" ca="1" si="439"/>
        <v>388</v>
      </c>
      <c r="E93">
        <f t="shared" ca="1" si="439"/>
        <v>414</v>
      </c>
      <c r="F93">
        <f t="shared" ca="1" si="439"/>
        <v>433</v>
      </c>
      <c r="G93">
        <f t="shared" ca="1" si="439"/>
        <v>454</v>
      </c>
      <c r="H93">
        <f t="shared" ca="1" si="439"/>
        <v>475</v>
      </c>
      <c r="I93">
        <f t="shared" ca="1" si="439"/>
        <v>493</v>
      </c>
      <c r="J93">
        <f t="shared" ca="1" si="439"/>
        <v>514</v>
      </c>
      <c r="K93">
        <f t="shared" ca="1" si="439"/>
        <v>535</v>
      </c>
      <c r="L93">
        <f t="shared" ca="1" si="439"/>
        <v>557</v>
      </c>
      <c r="M93">
        <f t="shared" ca="1" si="439"/>
        <v>579</v>
      </c>
      <c r="N93">
        <f t="shared" ca="1" si="439"/>
        <v>602</v>
      </c>
      <c r="O93">
        <f t="shared" ca="1" si="439"/>
        <v>626</v>
      </c>
      <c r="P93">
        <f t="shared" ca="1" si="439"/>
        <v>651</v>
      </c>
      <c r="Q93">
        <f t="shared" ca="1" si="439"/>
        <v>677</v>
      </c>
      <c r="R93">
        <f t="shared" ca="1" si="439"/>
        <v>705</v>
      </c>
      <c r="S93">
        <f t="shared" ca="1" si="439"/>
        <v>733</v>
      </c>
      <c r="T93">
        <f t="shared" ca="1" si="439"/>
        <v>762</v>
      </c>
      <c r="U93">
        <f t="shared" ca="1" si="439"/>
        <v>793</v>
      </c>
      <c r="V93">
        <f t="shared" ca="1" si="439"/>
        <v>825</v>
      </c>
      <c r="W93">
        <f t="shared" ca="1" si="439"/>
        <v>858</v>
      </c>
      <c r="X93">
        <f t="shared" ca="1" si="439"/>
        <v>892</v>
      </c>
      <c r="Y93">
        <f t="shared" ca="1" si="439"/>
        <v>1271</v>
      </c>
      <c r="Z93">
        <f t="shared" ca="1" si="439"/>
        <v>1884</v>
      </c>
      <c r="AA93">
        <f t="shared" ca="1" si="439"/>
        <v>1884</v>
      </c>
    </row>
    <row r="94" spans="1:27" x14ac:dyDescent="0.25">
      <c r="A94" t="s">
        <v>102</v>
      </c>
      <c r="B94" t="s">
        <v>19</v>
      </c>
      <c r="C94">
        <f t="shared" ca="1" si="440"/>
        <v>290</v>
      </c>
      <c r="D94">
        <f t="shared" ca="1" si="439"/>
        <v>295</v>
      </c>
      <c r="E94">
        <f t="shared" ca="1" si="439"/>
        <v>302</v>
      </c>
      <c r="F94">
        <f t="shared" ca="1" si="439"/>
        <v>308</v>
      </c>
      <c r="G94">
        <f t="shared" ca="1" si="439"/>
        <v>316</v>
      </c>
      <c r="H94">
        <f t="shared" ca="1" si="439"/>
        <v>325</v>
      </c>
      <c r="I94">
        <f t="shared" ca="1" si="439"/>
        <v>336</v>
      </c>
      <c r="J94">
        <f t="shared" ca="1" si="439"/>
        <v>346</v>
      </c>
      <c r="K94">
        <f t="shared" ca="1" si="439"/>
        <v>358</v>
      </c>
      <c r="L94">
        <f t="shared" ca="1" si="439"/>
        <v>370</v>
      </c>
      <c r="M94">
        <f t="shared" ca="1" si="439"/>
        <v>382</v>
      </c>
      <c r="N94">
        <f t="shared" ca="1" si="439"/>
        <v>395</v>
      </c>
      <c r="O94">
        <f t="shared" ca="1" si="439"/>
        <v>408</v>
      </c>
      <c r="P94">
        <f t="shared" ca="1" si="439"/>
        <v>421</v>
      </c>
      <c r="Q94">
        <f t="shared" ca="1" si="439"/>
        <v>435</v>
      </c>
      <c r="R94">
        <f t="shared" ca="1" si="439"/>
        <v>449</v>
      </c>
      <c r="S94">
        <f t="shared" ca="1" si="439"/>
        <v>464</v>
      </c>
      <c r="T94">
        <f t="shared" ca="1" si="439"/>
        <v>478</v>
      </c>
      <c r="U94">
        <f t="shared" ca="1" si="439"/>
        <v>494</v>
      </c>
      <c r="V94">
        <f t="shared" ca="1" si="439"/>
        <v>510</v>
      </c>
      <c r="W94">
        <f t="shared" ca="1" si="439"/>
        <v>526</v>
      </c>
      <c r="X94">
        <f t="shared" ca="1" si="439"/>
        <v>542</v>
      </c>
      <c r="Y94">
        <f t="shared" ca="1" si="439"/>
        <v>713</v>
      </c>
      <c r="Z94">
        <f t="shared" ca="1" si="439"/>
        <v>968</v>
      </c>
      <c r="AA94">
        <f t="shared" ca="1" si="439"/>
        <v>968</v>
      </c>
    </row>
    <row r="95" spans="1:27" x14ac:dyDescent="0.25">
      <c r="A95" t="s">
        <v>107</v>
      </c>
      <c r="B95" t="s">
        <v>20</v>
      </c>
      <c r="C95">
        <f t="shared" ca="1" si="440"/>
        <v>24953</v>
      </c>
      <c r="D95">
        <f t="shared" ca="1" si="439"/>
        <v>25664</v>
      </c>
      <c r="E95">
        <f t="shared" ca="1" si="439"/>
        <v>26449</v>
      </c>
      <c r="F95">
        <f t="shared" ca="1" si="439"/>
        <v>27416</v>
      </c>
      <c r="G95">
        <f t="shared" ref="G95:G99" ca="1" si="441">SUMIF($A$3:$A$85,$A95,S$3:S$85)</f>
        <v>28089</v>
      </c>
      <c r="H95">
        <f t="shared" ref="H95:H99" ca="1" si="442">SUMIF($A$3:$A$85,$A95,T$3:T$85)</f>
        <v>29093</v>
      </c>
      <c r="I95">
        <f t="shared" ref="I95:I99" ca="1" si="443">SUMIF($A$3:$A$85,$A95,U$3:U$85)</f>
        <v>30091</v>
      </c>
      <c r="J95">
        <f t="shared" ref="J95:J99" ca="1" si="444">SUMIF($A$3:$A$85,$A95,V$3:V$85)</f>
        <v>31159</v>
      </c>
      <c r="K95">
        <f t="shared" ref="K95:K99" ca="1" si="445">SUMIF($A$3:$A$85,$A95,W$3:W$85)</f>
        <v>32341</v>
      </c>
      <c r="L95">
        <f t="shared" ref="L95:L99" ca="1" si="446">SUMIF($A$3:$A$85,$A95,X$3:X$85)</f>
        <v>33595</v>
      </c>
      <c r="M95">
        <f t="shared" ref="M95:M99" ca="1" si="447">SUMIF($A$3:$A$85,$A95,Y$3:Y$85)</f>
        <v>34710</v>
      </c>
      <c r="N95">
        <f t="shared" ref="N95:N99" ca="1" si="448">SUMIF($A$3:$A$85,$A95,Z$3:Z$85)</f>
        <v>35739</v>
      </c>
      <c r="O95">
        <f t="shared" ref="O95:O99" ca="1" si="449">SUMIF($A$3:$A$85,$A95,AA$3:AA$85)</f>
        <v>36675</v>
      </c>
      <c r="P95">
        <f t="shared" ref="P95:P99" ca="1" si="450">SUMIF($A$3:$A$85,$A95,AB$3:AB$85)</f>
        <v>37578</v>
      </c>
      <c r="Q95">
        <f t="shared" ref="Q95:Q99" ca="1" si="451">SUMIF($A$3:$A$85,$A95,AC$3:AC$85)</f>
        <v>38489</v>
      </c>
      <c r="R95">
        <f t="shared" ref="R95:R99" ca="1" si="452">SUMIF($A$3:$A$85,$A95,AD$3:AD$85)</f>
        <v>39655</v>
      </c>
      <c r="S95">
        <f t="shared" ref="S95:S99" ca="1" si="453">SUMIF($A$3:$A$85,$A95,AE$3:AE$85)</f>
        <v>40765</v>
      </c>
      <c r="T95">
        <f t="shared" ref="T95:T99" ca="1" si="454">SUMIF($A$3:$A$85,$A95,AF$3:AF$85)</f>
        <v>41874</v>
      </c>
      <c r="U95">
        <f t="shared" ref="U95:U99" ca="1" si="455">SUMIF($A$3:$A$85,$A95,AG$3:AG$85)</f>
        <v>42948</v>
      </c>
      <c r="V95">
        <f t="shared" ref="V95:V99" ca="1" si="456">SUMIF($A$3:$A$85,$A95,AH$3:AH$85)</f>
        <v>43875</v>
      </c>
      <c r="W95">
        <f t="shared" ref="W95:W99" ca="1" si="457">SUMIF($A$3:$A$85,$A95,AI$3:AI$85)</f>
        <v>44736</v>
      </c>
      <c r="X95">
        <f t="shared" ref="X95:X99" ca="1" si="458">SUMIF($A$3:$A$85,$A95,AJ$3:AJ$85)</f>
        <v>45770</v>
      </c>
      <c r="Y95">
        <f t="shared" ref="Y95:Y99" ca="1" si="459">SUMIF($A$3:$A$85,$A95,AK$3:AK$85)</f>
        <v>56216</v>
      </c>
      <c r="Z95">
        <f t="shared" ref="Z95:Z99" ca="1" si="460">SUMIF($A$3:$A$85,$A95,AL$3:AL$85)</f>
        <v>71314</v>
      </c>
      <c r="AA95">
        <f t="shared" ref="AA95:AA99" ca="1" si="461">SUMIF($A$3:$A$85,$A95,AM$3:AM$85)</f>
        <v>71314</v>
      </c>
    </row>
    <row r="96" spans="1:27" x14ac:dyDescent="0.25">
      <c r="A96" t="s">
        <v>103</v>
      </c>
      <c r="B96" t="s">
        <v>21</v>
      </c>
      <c r="C96">
        <f t="shared" ca="1" si="440"/>
        <v>122</v>
      </c>
      <c r="D96">
        <f t="shared" ref="D96:D99" ca="1" si="462">SUMIF($A$3:$A$85,$A96,P$3:P$85)</f>
        <v>128</v>
      </c>
      <c r="E96">
        <f t="shared" ref="E96:E99" ca="1" si="463">SUMIF($A$3:$A$85,$A96,Q$3:Q$85)</f>
        <v>134</v>
      </c>
      <c r="F96">
        <f t="shared" ref="F96:F99" ca="1" si="464">SUMIF($A$3:$A$85,$A96,R$3:R$85)</f>
        <v>140</v>
      </c>
      <c r="G96">
        <f t="shared" ca="1" si="441"/>
        <v>145</v>
      </c>
      <c r="H96">
        <f t="shared" ca="1" si="442"/>
        <v>149</v>
      </c>
      <c r="I96">
        <f t="shared" ca="1" si="443"/>
        <v>153</v>
      </c>
      <c r="J96">
        <f t="shared" ca="1" si="444"/>
        <v>158</v>
      </c>
      <c r="K96">
        <f t="shared" ca="1" si="445"/>
        <v>161</v>
      </c>
      <c r="L96">
        <f t="shared" ca="1" si="446"/>
        <v>165</v>
      </c>
      <c r="M96">
        <f t="shared" ca="1" si="447"/>
        <v>167</v>
      </c>
      <c r="N96">
        <f t="shared" ca="1" si="448"/>
        <v>169</v>
      </c>
      <c r="O96">
        <f t="shared" ca="1" si="449"/>
        <v>171</v>
      </c>
      <c r="P96">
        <f t="shared" ca="1" si="450"/>
        <v>173</v>
      </c>
      <c r="Q96">
        <f t="shared" ca="1" si="451"/>
        <v>175</v>
      </c>
      <c r="R96">
        <f t="shared" ca="1" si="452"/>
        <v>177</v>
      </c>
      <c r="S96">
        <f t="shared" ca="1" si="453"/>
        <v>180</v>
      </c>
      <c r="T96">
        <f t="shared" ca="1" si="454"/>
        <v>182</v>
      </c>
      <c r="U96">
        <f t="shared" ca="1" si="455"/>
        <v>184</v>
      </c>
      <c r="V96">
        <f t="shared" ca="1" si="456"/>
        <v>187</v>
      </c>
      <c r="W96">
        <f t="shared" ca="1" si="457"/>
        <v>189</v>
      </c>
      <c r="X96">
        <f t="shared" ca="1" si="458"/>
        <v>192</v>
      </c>
      <c r="Y96">
        <f t="shared" ca="1" si="459"/>
        <v>221</v>
      </c>
      <c r="Z96">
        <f t="shared" ca="1" si="460"/>
        <v>263</v>
      </c>
      <c r="AA96">
        <f t="shared" ca="1" si="461"/>
        <v>263</v>
      </c>
    </row>
    <row r="97" spans="1:27" x14ac:dyDescent="0.25">
      <c r="A97" t="s">
        <v>104</v>
      </c>
      <c r="B97" t="s">
        <v>22</v>
      </c>
      <c r="C97">
        <f t="shared" ca="1" si="440"/>
        <v>468</v>
      </c>
      <c r="D97">
        <f t="shared" ca="1" si="462"/>
        <v>487</v>
      </c>
      <c r="E97">
        <f t="shared" ca="1" si="463"/>
        <v>507</v>
      </c>
      <c r="F97">
        <f t="shared" ca="1" si="464"/>
        <v>529</v>
      </c>
      <c r="G97">
        <f t="shared" ca="1" si="441"/>
        <v>551</v>
      </c>
      <c r="H97">
        <f t="shared" ca="1" si="442"/>
        <v>574</v>
      </c>
      <c r="I97">
        <f t="shared" ca="1" si="443"/>
        <v>598</v>
      </c>
      <c r="J97">
        <f t="shared" ca="1" si="444"/>
        <v>622</v>
      </c>
      <c r="K97">
        <f t="shared" ca="1" si="445"/>
        <v>648</v>
      </c>
      <c r="L97">
        <f t="shared" ca="1" si="446"/>
        <v>676</v>
      </c>
      <c r="M97">
        <f t="shared" ca="1" si="447"/>
        <v>704</v>
      </c>
      <c r="N97">
        <f t="shared" ca="1" si="448"/>
        <v>733</v>
      </c>
      <c r="O97">
        <f t="shared" ca="1" si="449"/>
        <v>764</v>
      </c>
      <c r="P97">
        <f t="shared" ca="1" si="450"/>
        <v>796</v>
      </c>
      <c r="Q97">
        <f t="shared" ca="1" si="451"/>
        <v>829</v>
      </c>
      <c r="R97">
        <f t="shared" ca="1" si="452"/>
        <v>864</v>
      </c>
      <c r="S97">
        <f t="shared" ca="1" si="453"/>
        <v>900</v>
      </c>
      <c r="T97">
        <f t="shared" ca="1" si="454"/>
        <v>937</v>
      </c>
      <c r="U97">
        <f t="shared" ca="1" si="455"/>
        <v>976</v>
      </c>
      <c r="V97">
        <f t="shared" ca="1" si="456"/>
        <v>1017</v>
      </c>
      <c r="W97">
        <f t="shared" ca="1" si="457"/>
        <v>1060</v>
      </c>
      <c r="X97">
        <f t="shared" ca="1" si="458"/>
        <v>1113</v>
      </c>
      <c r="Y97">
        <f t="shared" ca="1" si="459"/>
        <v>1726</v>
      </c>
      <c r="Z97">
        <f t="shared" ca="1" si="460"/>
        <v>2582</v>
      </c>
      <c r="AA97">
        <f t="shared" ca="1" si="461"/>
        <v>2582</v>
      </c>
    </row>
    <row r="98" spans="1:27" x14ac:dyDescent="0.25">
      <c r="A98" t="s">
        <v>105</v>
      </c>
      <c r="B98" t="s">
        <v>23</v>
      </c>
      <c r="C98">
        <f t="shared" ca="1" si="440"/>
        <v>1311</v>
      </c>
      <c r="D98">
        <f t="shared" ca="1" si="462"/>
        <v>1379</v>
      </c>
      <c r="E98">
        <f t="shared" ca="1" si="463"/>
        <v>1407</v>
      </c>
      <c r="F98">
        <f t="shared" ca="1" si="464"/>
        <v>1429</v>
      </c>
      <c r="G98">
        <f t="shared" ca="1" si="441"/>
        <v>1451</v>
      </c>
      <c r="H98">
        <f t="shared" ca="1" si="442"/>
        <v>1474</v>
      </c>
      <c r="I98">
        <f t="shared" ca="1" si="443"/>
        <v>1497</v>
      </c>
      <c r="J98">
        <f t="shared" ca="1" si="444"/>
        <v>1520</v>
      </c>
      <c r="K98">
        <f t="shared" ca="1" si="445"/>
        <v>1540</v>
      </c>
      <c r="L98">
        <f t="shared" ca="1" si="446"/>
        <v>1559</v>
      </c>
      <c r="M98">
        <f t="shared" ca="1" si="447"/>
        <v>1569</v>
      </c>
      <c r="N98">
        <f t="shared" ca="1" si="448"/>
        <v>1599</v>
      </c>
      <c r="O98">
        <f t="shared" ca="1" si="449"/>
        <v>1618</v>
      </c>
      <c r="P98">
        <f t="shared" ca="1" si="450"/>
        <v>1628</v>
      </c>
      <c r="Q98">
        <f t="shared" ca="1" si="451"/>
        <v>1658</v>
      </c>
      <c r="R98">
        <f t="shared" ca="1" si="452"/>
        <v>1678</v>
      </c>
      <c r="S98">
        <f t="shared" ca="1" si="453"/>
        <v>1698</v>
      </c>
      <c r="T98">
        <f t="shared" ca="1" si="454"/>
        <v>1718</v>
      </c>
      <c r="U98">
        <f t="shared" ca="1" si="455"/>
        <v>1739</v>
      </c>
      <c r="V98">
        <f t="shared" ca="1" si="456"/>
        <v>1760</v>
      </c>
      <c r="W98">
        <f t="shared" ca="1" si="457"/>
        <v>1781</v>
      </c>
      <c r="X98">
        <f t="shared" ca="1" si="458"/>
        <v>1870</v>
      </c>
      <c r="Y98">
        <f t="shared" ca="1" si="459"/>
        <v>2901</v>
      </c>
      <c r="Z98">
        <f t="shared" ca="1" si="460"/>
        <v>4725</v>
      </c>
      <c r="AA98">
        <f t="shared" ca="1" si="461"/>
        <v>4725</v>
      </c>
    </row>
    <row r="99" spans="1:27" x14ac:dyDescent="0.25">
      <c r="A99" t="s">
        <v>106</v>
      </c>
      <c r="B99" t="s">
        <v>24</v>
      </c>
      <c r="C99">
        <f t="shared" ca="1" si="440"/>
        <v>1283</v>
      </c>
      <c r="D99">
        <f t="shared" ca="1" si="462"/>
        <v>1319</v>
      </c>
      <c r="E99">
        <f t="shared" ca="1" si="463"/>
        <v>1357</v>
      </c>
      <c r="F99">
        <f t="shared" ca="1" si="464"/>
        <v>1397</v>
      </c>
      <c r="G99">
        <f t="shared" ca="1" si="441"/>
        <v>1439</v>
      </c>
      <c r="H99">
        <f t="shared" ca="1" si="442"/>
        <v>1486</v>
      </c>
      <c r="I99">
        <f t="shared" ca="1" si="443"/>
        <v>1536</v>
      </c>
      <c r="J99">
        <f t="shared" ca="1" si="444"/>
        <v>1587</v>
      </c>
      <c r="K99">
        <f t="shared" ca="1" si="445"/>
        <v>1640</v>
      </c>
      <c r="L99">
        <f t="shared" ca="1" si="446"/>
        <v>1695</v>
      </c>
      <c r="M99">
        <f t="shared" ca="1" si="447"/>
        <v>1752</v>
      </c>
      <c r="N99">
        <f t="shared" ca="1" si="448"/>
        <v>1811</v>
      </c>
      <c r="O99">
        <f t="shared" ca="1" si="449"/>
        <v>1871</v>
      </c>
      <c r="P99">
        <f t="shared" ca="1" si="450"/>
        <v>1934</v>
      </c>
      <c r="Q99">
        <f t="shared" ca="1" si="451"/>
        <v>1999</v>
      </c>
      <c r="R99">
        <f t="shared" ca="1" si="452"/>
        <v>2066</v>
      </c>
      <c r="S99">
        <f t="shared" ca="1" si="453"/>
        <v>2136</v>
      </c>
      <c r="T99">
        <f t="shared" ca="1" si="454"/>
        <v>2208</v>
      </c>
      <c r="U99">
        <f t="shared" ca="1" si="455"/>
        <v>2282</v>
      </c>
      <c r="V99">
        <f t="shared" ca="1" si="456"/>
        <v>2359</v>
      </c>
      <c r="W99">
        <f t="shared" ca="1" si="457"/>
        <v>2439</v>
      </c>
      <c r="X99">
        <f t="shared" ca="1" si="458"/>
        <v>2536</v>
      </c>
      <c r="Y99">
        <f t="shared" ca="1" si="459"/>
        <v>3610</v>
      </c>
      <c r="Z99">
        <f t="shared" ca="1" si="460"/>
        <v>5343</v>
      </c>
      <c r="AA99">
        <f t="shared" ca="1" si="461"/>
        <v>5343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31"/>
  <sheetViews>
    <sheetView workbookViewId="0"/>
  </sheetViews>
  <sheetFormatPr defaultRowHeight="15" x14ac:dyDescent="0.25"/>
  <cols>
    <col min="1" max="1" width="24.140625" customWidth="1"/>
  </cols>
  <sheetData>
    <row r="1" spans="1:18" x14ac:dyDescent="0.25">
      <c r="A1" t="s">
        <v>27</v>
      </c>
      <c r="B1" t="s">
        <v>29</v>
      </c>
      <c r="C1" t="s">
        <v>30</v>
      </c>
    </row>
    <row r="2" spans="1:18" x14ac:dyDescent="0.25">
      <c r="A2" t="s">
        <v>31</v>
      </c>
      <c r="B2">
        <v>2008</v>
      </c>
      <c r="C2">
        <v>2009</v>
      </c>
      <c r="D2">
        <v>2010</v>
      </c>
      <c r="E2">
        <v>2011</v>
      </c>
      <c r="F2">
        <v>2012</v>
      </c>
      <c r="G2">
        <v>2013</v>
      </c>
      <c r="H2">
        <v>2014</v>
      </c>
      <c r="I2">
        <v>2015</v>
      </c>
      <c r="J2">
        <v>2016</v>
      </c>
      <c r="K2">
        <v>2017</v>
      </c>
      <c r="L2">
        <v>2018</v>
      </c>
      <c r="M2">
        <v>2019</v>
      </c>
      <c r="N2">
        <v>2020</v>
      </c>
      <c r="O2">
        <v>2021</v>
      </c>
      <c r="P2">
        <v>2022</v>
      </c>
      <c r="Q2">
        <v>2023</v>
      </c>
      <c r="R2">
        <v>2024</v>
      </c>
    </row>
    <row r="3" spans="1:18" x14ac:dyDescent="0.25">
      <c r="A3" t="s">
        <v>13</v>
      </c>
      <c r="B3" s="40">
        <v>5105</v>
      </c>
      <c r="C3" s="40">
        <v>5784</v>
      </c>
      <c r="D3" s="40">
        <v>6343</v>
      </c>
      <c r="E3" s="40">
        <v>6929</v>
      </c>
      <c r="F3" s="40">
        <v>7516</v>
      </c>
      <c r="G3" s="40">
        <v>8122</v>
      </c>
      <c r="H3" s="41">
        <v>8771.5</v>
      </c>
      <c r="I3" s="41">
        <v>9437.2000000000007</v>
      </c>
      <c r="J3" s="40">
        <v>10032</v>
      </c>
      <c r="K3" s="40">
        <v>10658</v>
      </c>
      <c r="L3" s="40">
        <v>11316</v>
      </c>
      <c r="M3" s="40">
        <v>12008</v>
      </c>
      <c r="N3" s="40">
        <v>12674</v>
      </c>
      <c r="O3" s="40">
        <v>13364</v>
      </c>
      <c r="P3" s="40">
        <v>14077</v>
      </c>
      <c r="Q3" s="40">
        <v>14812</v>
      </c>
      <c r="R3" s="40">
        <v>15568</v>
      </c>
    </row>
    <row r="4" spans="1:18" x14ac:dyDescent="0.25">
      <c r="A4" t="s">
        <v>14</v>
      </c>
      <c r="B4" s="42"/>
      <c r="C4" s="42"/>
      <c r="D4" s="42"/>
      <c r="E4" s="42"/>
      <c r="F4" s="42"/>
      <c r="G4" s="42"/>
      <c r="H4" s="43"/>
      <c r="I4" s="43"/>
      <c r="J4" s="42"/>
      <c r="K4" s="42"/>
      <c r="L4" s="42"/>
      <c r="M4" s="42"/>
      <c r="N4" s="42"/>
      <c r="O4" s="42"/>
      <c r="P4" s="42"/>
      <c r="Q4" s="42"/>
      <c r="R4" s="42"/>
    </row>
    <row r="5" spans="1:18" x14ac:dyDescent="0.25">
      <c r="A5" t="s">
        <v>15</v>
      </c>
      <c r="B5" s="44">
        <v>5588</v>
      </c>
      <c r="C5" s="44">
        <v>5781</v>
      </c>
      <c r="D5" s="44">
        <v>5982</v>
      </c>
      <c r="E5" s="44">
        <v>6189</v>
      </c>
      <c r="F5" s="44">
        <v>6404</v>
      </c>
      <c r="G5" s="44">
        <v>6625</v>
      </c>
      <c r="H5" s="44">
        <v>6855</v>
      </c>
      <c r="I5" s="44">
        <v>7093</v>
      </c>
      <c r="J5" s="44">
        <v>7338</v>
      </c>
      <c r="K5" s="44">
        <v>7593</v>
      </c>
      <c r="L5" s="44">
        <v>7856</v>
      </c>
      <c r="M5" s="44">
        <v>8128</v>
      </c>
      <c r="N5" s="44">
        <v>8409</v>
      </c>
      <c r="O5" s="44">
        <v>8661</v>
      </c>
      <c r="P5" s="44">
        <v>8921</v>
      </c>
      <c r="Q5" s="44">
        <v>9189</v>
      </c>
      <c r="R5" s="44">
        <v>9464</v>
      </c>
    </row>
    <row r="6" spans="1:18" x14ac:dyDescent="0.25">
      <c r="A6" t="s">
        <v>16</v>
      </c>
      <c r="B6" s="45">
        <v>488</v>
      </c>
      <c r="C6" s="45">
        <v>512</v>
      </c>
      <c r="D6" s="45">
        <v>538</v>
      </c>
      <c r="E6" s="45">
        <v>556</v>
      </c>
      <c r="F6" s="45">
        <v>580</v>
      </c>
      <c r="G6" s="45">
        <v>605</v>
      </c>
      <c r="H6" s="45">
        <v>631</v>
      </c>
      <c r="I6" s="45">
        <v>658</v>
      </c>
      <c r="J6" s="45">
        <v>687</v>
      </c>
      <c r="K6" s="45">
        <v>716</v>
      </c>
      <c r="L6" s="45">
        <v>747</v>
      </c>
      <c r="M6" s="45">
        <v>779</v>
      </c>
      <c r="N6" s="45">
        <v>813</v>
      </c>
      <c r="O6" s="45">
        <v>847</v>
      </c>
      <c r="P6" s="45">
        <v>884</v>
      </c>
      <c r="Q6" s="45">
        <v>922</v>
      </c>
      <c r="R6" s="45">
        <v>962</v>
      </c>
    </row>
    <row r="7" spans="1:18" x14ac:dyDescent="0.25">
      <c r="A7" t="s">
        <v>17</v>
      </c>
      <c r="B7" s="44">
        <v>1528</v>
      </c>
      <c r="C7" s="44">
        <v>1635</v>
      </c>
      <c r="D7" s="44">
        <v>1740.1</v>
      </c>
      <c r="E7" s="44">
        <v>2143</v>
      </c>
      <c r="F7" s="44">
        <v>2245</v>
      </c>
      <c r="G7" s="44">
        <v>2347</v>
      </c>
      <c r="H7" s="44">
        <v>2450</v>
      </c>
      <c r="I7" s="44">
        <v>2553</v>
      </c>
      <c r="J7" s="44">
        <v>2656</v>
      </c>
      <c r="K7" s="44">
        <v>2761</v>
      </c>
      <c r="L7" s="44">
        <v>2866</v>
      </c>
      <c r="M7" s="44">
        <v>2973</v>
      </c>
      <c r="N7" s="44">
        <v>3081</v>
      </c>
      <c r="O7" s="44">
        <v>3190</v>
      </c>
      <c r="P7" s="44">
        <v>3284</v>
      </c>
      <c r="Q7" s="44">
        <v>3380</v>
      </c>
      <c r="R7" s="44">
        <v>3479</v>
      </c>
    </row>
    <row r="8" spans="1:18" x14ac:dyDescent="0.25">
      <c r="A8" t="s">
        <v>18</v>
      </c>
      <c r="B8" s="45">
        <v>2881</v>
      </c>
      <c r="C8" s="45">
        <v>3119</v>
      </c>
      <c r="D8" s="45">
        <v>3356</v>
      </c>
      <c r="E8" s="45">
        <v>3521</v>
      </c>
      <c r="F8" s="45">
        <v>3687</v>
      </c>
      <c r="G8" s="45">
        <v>3852</v>
      </c>
      <c r="H8" s="45">
        <v>4017.3</v>
      </c>
      <c r="I8" s="45">
        <v>4348</v>
      </c>
      <c r="J8" s="45">
        <v>4522</v>
      </c>
      <c r="K8" s="45">
        <v>4695</v>
      </c>
      <c r="L8" s="45">
        <v>4869</v>
      </c>
      <c r="M8" s="45">
        <v>5042</v>
      </c>
      <c r="N8" s="45">
        <v>5389</v>
      </c>
      <c r="O8" s="45">
        <v>5777</v>
      </c>
      <c r="P8" s="45">
        <v>6193</v>
      </c>
      <c r="Q8" s="45">
        <v>6639</v>
      </c>
      <c r="R8" s="45">
        <v>7117</v>
      </c>
    </row>
    <row r="9" spans="1:18" x14ac:dyDescent="0.25">
      <c r="A9" t="s">
        <v>19</v>
      </c>
      <c r="B9" s="44">
        <v>3007</v>
      </c>
      <c r="C9" s="44">
        <v>3091</v>
      </c>
      <c r="D9" s="44">
        <v>3236</v>
      </c>
      <c r="E9" s="44">
        <v>3373</v>
      </c>
      <c r="F9" s="44">
        <v>3513</v>
      </c>
      <c r="G9" s="44">
        <v>3701</v>
      </c>
      <c r="H9" s="44">
        <v>3848</v>
      </c>
      <c r="I9" s="44">
        <v>3956</v>
      </c>
      <c r="J9" s="44">
        <v>4123</v>
      </c>
      <c r="K9" s="44">
        <v>4289</v>
      </c>
      <c r="L9" s="44">
        <v>4496</v>
      </c>
      <c r="M9" s="44">
        <v>4663</v>
      </c>
      <c r="N9" s="44">
        <v>4838</v>
      </c>
      <c r="O9" s="44">
        <v>4966</v>
      </c>
      <c r="P9" s="44">
        <v>5143</v>
      </c>
      <c r="Q9" s="44">
        <v>5338</v>
      </c>
      <c r="R9" s="44">
        <v>5579</v>
      </c>
    </row>
    <row r="10" spans="1:18" x14ac:dyDescent="0.25">
      <c r="A10" t="s">
        <v>20</v>
      </c>
      <c r="B10" s="44">
        <v>252109</v>
      </c>
      <c r="C10" s="44">
        <v>261361</v>
      </c>
      <c r="D10" s="44">
        <v>271103</v>
      </c>
      <c r="E10" s="44">
        <v>280739</v>
      </c>
      <c r="F10" s="44">
        <v>290904</v>
      </c>
      <c r="G10" s="44">
        <v>303086</v>
      </c>
      <c r="H10" s="44">
        <v>315039</v>
      </c>
      <c r="I10" s="44">
        <v>327790</v>
      </c>
      <c r="J10" s="44">
        <v>340121</v>
      </c>
      <c r="K10" s="44">
        <v>354423</v>
      </c>
      <c r="L10" s="44">
        <v>368643</v>
      </c>
      <c r="M10" s="44">
        <v>383464</v>
      </c>
      <c r="N10" s="44">
        <v>398084</v>
      </c>
      <c r="O10" s="44">
        <v>414618</v>
      </c>
      <c r="P10" s="44">
        <v>431126</v>
      </c>
      <c r="Q10" s="44">
        <v>447663</v>
      </c>
      <c r="R10" s="44">
        <v>463780</v>
      </c>
    </row>
    <row r="11" spans="1:18" x14ac:dyDescent="0.25">
      <c r="A11" t="s">
        <v>21</v>
      </c>
      <c r="B11" s="40">
        <v>1154</v>
      </c>
      <c r="C11" s="40">
        <v>1205</v>
      </c>
      <c r="D11" s="40">
        <v>1262</v>
      </c>
      <c r="E11" s="40">
        <v>1319</v>
      </c>
      <c r="F11" s="40">
        <v>1386</v>
      </c>
      <c r="G11" s="40">
        <v>1443</v>
      </c>
      <c r="H11" s="40">
        <v>1494</v>
      </c>
      <c r="I11" s="40">
        <v>1534</v>
      </c>
      <c r="J11" s="40">
        <v>1573</v>
      </c>
      <c r="K11" s="40">
        <v>1624</v>
      </c>
      <c r="L11" s="40">
        <v>1658</v>
      </c>
      <c r="M11" s="40">
        <v>1698</v>
      </c>
      <c r="N11" s="40">
        <v>1720</v>
      </c>
      <c r="O11" s="40">
        <v>1743</v>
      </c>
      <c r="P11" s="40">
        <v>1760</v>
      </c>
      <c r="Q11" s="40">
        <v>1783</v>
      </c>
      <c r="R11" s="40">
        <v>1805</v>
      </c>
    </row>
    <row r="12" spans="1:18" x14ac:dyDescent="0.25">
      <c r="A12" t="s">
        <v>22</v>
      </c>
      <c r="B12" s="40">
        <v>4414</v>
      </c>
      <c r="C12" s="40">
        <v>4628</v>
      </c>
      <c r="D12" s="40">
        <v>4820</v>
      </c>
      <c r="E12" s="40">
        <v>5021</v>
      </c>
      <c r="F12" s="40">
        <v>5230</v>
      </c>
      <c r="G12" s="40">
        <v>5448</v>
      </c>
      <c r="H12" s="40">
        <v>5675</v>
      </c>
      <c r="I12" s="40">
        <v>5911</v>
      </c>
      <c r="J12" s="40">
        <v>6158</v>
      </c>
      <c r="K12" s="40">
        <v>6415</v>
      </c>
      <c r="L12" s="40">
        <v>6683</v>
      </c>
      <c r="M12" s="40">
        <v>6962</v>
      </c>
      <c r="N12" s="40">
        <v>7252</v>
      </c>
      <c r="O12" s="40">
        <v>7555</v>
      </c>
      <c r="P12" s="40">
        <v>7871</v>
      </c>
      <c r="Q12" s="40">
        <v>8200</v>
      </c>
      <c r="R12" s="40">
        <v>8543</v>
      </c>
    </row>
    <row r="13" spans="1:18" x14ac:dyDescent="0.25">
      <c r="A13" t="s">
        <v>23</v>
      </c>
      <c r="B13" s="44">
        <v>13014</v>
      </c>
      <c r="C13" s="44">
        <v>14354</v>
      </c>
      <c r="D13" s="44">
        <v>14749</v>
      </c>
      <c r="E13" s="44">
        <v>16000</v>
      </c>
      <c r="F13" s="44">
        <v>17927</v>
      </c>
      <c r="G13" s="44">
        <v>18377</v>
      </c>
      <c r="H13" s="44">
        <v>18613</v>
      </c>
      <c r="I13" s="44">
        <v>18853</v>
      </c>
      <c r="J13" s="44">
        <v>19098</v>
      </c>
      <c r="K13" s="44">
        <v>19384</v>
      </c>
      <c r="L13" s="44">
        <v>19553</v>
      </c>
      <c r="M13" s="44">
        <v>19760</v>
      </c>
      <c r="N13" s="44">
        <v>19968</v>
      </c>
      <c r="O13" s="44">
        <v>20177</v>
      </c>
      <c r="P13" s="44">
        <v>20387</v>
      </c>
      <c r="Q13" s="44">
        <v>20597</v>
      </c>
      <c r="R13" s="44">
        <v>20809</v>
      </c>
    </row>
    <row r="14" spans="1:18" x14ac:dyDescent="0.25">
      <c r="A14" t="s">
        <v>24</v>
      </c>
      <c r="B14" s="40">
        <v>12668</v>
      </c>
      <c r="C14" s="40">
        <v>12924</v>
      </c>
      <c r="D14" s="40">
        <v>13221</v>
      </c>
      <c r="E14" s="40">
        <v>13592</v>
      </c>
      <c r="F14" s="40">
        <v>13990</v>
      </c>
      <c r="G14" s="40">
        <v>14400</v>
      </c>
      <c r="H14" s="40">
        <v>14828</v>
      </c>
      <c r="I14" s="40">
        <v>15317</v>
      </c>
      <c r="J14" s="40">
        <v>15829</v>
      </c>
      <c r="K14" s="40">
        <v>16358</v>
      </c>
      <c r="L14" s="40">
        <v>16905</v>
      </c>
      <c r="M14" s="40">
        <v>17470</v>
      </c>
      <c r="N14" s="40">
        <v>18055</v>
      </c>
      <c r="O14" s="40">
        <v>18660</v>
      </c>
      <c r="P14" s="40">
        <v>19285</v>
      </c>
      <c r="Q14" s="40">
        <v>19932</v>
      </c>
      <c r="R14" s="40">
        <v>20601</v>
      </c>
    </row>
    <row r="15" spans="1:18" x14ac:dyDescent="0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20" spans="2:19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2:19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2:19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2:19" x14ac:dyDescent="0.25">
      <c r="R23" s="17"/>
      <c r="S23" s="17"/>
    </row>
    <row r="24" spans="2:19" x14ac:dyDescent="0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19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2:19" x14ac:dyDescent="0.2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2:19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2:19" x14ac:dyDescent="0.2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2:19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2:19" x14ac:dyDescent="0.2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2:19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U30"/>
  <sheetViews>
    <sheetView workbookViewId="0"/>
  </sheetViews>
  <sheetFormatPr defaultRowHeight="15" x14ac:dyDescent="0.25"/>
  <sheetData>
    <row r="1" spans="1:19" x14ac:dyDescent="0.25">
      <c r="A1" t="s">
        <v>34</v>
      </c>
      <c r="B1" t="s">
        <v>35</v>
      </c>
      <c r="C1" t="s">
        <v>36</v>
      </c>
      <c r="D1" t="s">
        <v>10</v>
      </c>
    </row>
    <row r="2" spans="1:19" x14ac:dyDescent="0.25">
      <c r="A2" t="s">
        <v>37</v>
      </c>
      <c r="B2">
        <v>2008</v>
      </c>
      <c r="C2">
        <v>2009</v>
      </c>
      <c r="D2">
        <v>2010</v>
      </c>
      <c r="E2">
        <v>2011</v>
      </c>
      <c r="F2">
        <v>2012</v>
      </c>
      <c r="G2">
        <v>2013</v>
      </c>
      <c r="H2">
        <v>2014</v>
      </c>
      <c r="I2">
        <v>2015</v>
      </c>
      <c r="J2">
        <v>2016</v>
      </c>
      <c r="K2">
        <v>2017</v>
      </c>
      <c r="L2">
        <v>2018</v>
      </c>
      <c r="M2">
        <v>2019</v>
      </c>
      <c r="N2">
        <v>2020</v>
      </c>
      <c r="O2">
        <v>2021</v>
      </c>
      <c r="P2">
        <v>2022</v>
      </c>
      <c r="Q2">
        <v>2023</v>
      </c>
      <c r="R2">
        <v>2024</v>
      </c>
      <c r="S2">
        <v>2025</v>
      </c>
    </row>
    <row r="3" spans="1:19" x14ac:dyDescent="0.25">
      <c r="A3" t="s">
        <v>13</v>
      </c>
      <c r="B3">
        <v>897</v>
      </c>
      <c r="C3">
        <v>1016</v>
      </c>
      <c r="D3">
        <v>1114</v>
      </c>
      <c r="E3">
        <v>1217</v>
      </c>
      <c r="F3">
        <v>1320</v>
      </c>
      <c r="G3">
        <v>1426</v>
      </c>
      <c r="H3">
        <v>1540</v>
      </c>
      <c r="I3">
        <v>1657</v>
      </c>
      <c r="J3">
        <v>1762</v>
      </c>
      <c r="K3">
        <v>1872</v>
      </c>
      <c r="L3">
        <v>1987</v>
      </c>
      <c r="M3">
        <v>2109</v>
      </c>
      <c r="N3">
        <v>2226</v>
      </c>
      <c r="O3">
        <v>2347</v>
      </c>
      <c r="P3">
        <v>2472</v>
      </c>
      <c r="Q3">
        <v>2601</v>
      </c>
      <c r="R3">
        <v>2734</v>
      </c>
      <c r="S3">
        <v>2871</v>
      </c>
    </row>
    <row r="4" spans="1:19" x14ac:dyDescent="0.25">
      <c r="A4" t="s">
        <v>14</v>
      </c>
      <c r="B4">
        <v>563</v>
      </c>
      <c r="C4">
        <v>675</v>
      </c>
      <c r="D4">
        <v>737</v>
      </c>
      <c r="E4">
        <v>795</v>
      </c>
      <c r="F4">
        <v>817</v>
      </c>
      <c r="G4">
        <v>864</v>
      </c>
      <c r="H4">
        <v>904</v>
      </c>
      <c r="I4">
        <v>928</v>
      </c>
      <c r="J4">
        <v>951</v>
      </c>
      <c r="K4">
        <v>1034</v>
      </c>
      <c r="L4">
        <v>1089</v>
      </c>
      <c r="M4">
        <v>1164</v>
      </c>
      <c r="N4">
        <v>1183</v>
      </c>
      <c r="O4">
        <v>1202</v>
      </c>
      <c r="P4">
        <v>1221</v>
      </c>
      <c r="Q4">
        <v>1238</v>
      </c>
      <c r="R4">
        <v>1255</v>
      </c>
      <c r="S4">
        <v>1272</v>
      </c>
    </row>
    <row r="5" spans="1:19" x14ac:dyDescent="0.25">
      <c r="A5" t="s">
        <v>15</v>
      </c>
      <c r="B5">
        <v>1179</v>
      </c>
      <c r="C5">
        <v>1220</v>
      </c>
      <c r="D5">
        <v>1262</v>
      </c>
      <c r="E5">
        <v>1306</v>
      </c>
      <c r="F5">
        <v>1351</v>
      </c>
      <c r="G5">
        <v>1398</v>
      </c>
      <c r="H5">
        <v>1446</v>
      </c>
      <c r="I5">
        <v>1496</v>
      </c>
      <c r="J5">
        <v>1548</v>
      </c>
      <c r="K5" s="17">
        <v>1602</v>
      </c>
      <c r="L5" s="17">
        <v>1657</v>
      </c>
      <c r="M5" s="17">
        <v>1714</v>
      </c>
      <c r="N5" s="17">
        <v>1772</v>
      </c>
      <c r="O5" s="17">
        <v>1825</v>
      </c>
      <c r="P5" s="17">
        <v>1880</v>
      </c>
      <c r="Q5" s="17">
        <v>1936</v>
      </c>
      <c r="R5">
        <v>1994</v>
      </c>
      <c r="S5">
        <v>2054</v>
      </c>
    </row>
    <row r="6" spans="1:19" x14ac:dyDescent="0.25">
      <c r="A6" t="s">
        <v>16</v>
      </c>
      <c r="B6">
        <v>111</v>
      </c>
      <c r="C6">
        <v>117</v>
      </c>
      <c r="D6">
        <v>123</v>
      </c>
      <c r="E6">
        <v>127</v>
      </c>
      <c r="F6">
        <v>132</v>
      </c>
      <c r="G6">
        <v>138</v>
      </c>
      <c r="H6">
        <v>144</v>
      </c>
      <c r="I6">
        <v>150</v>
      </c>
      <c r="J6">
        <v>157</v>
      </c>
      <c r="K6">
        <v>163</v>
      </c>
      <c r="L6">
        <v>171</v>
      </c>
      <c r="M6">
        <v>178</v>
      </c>
      <c r="N6">
        <v>186</v>
      </c>
      <c r="O6">
        <v>193</v>
      </c>
      <c r="P6">
        <v>202</v>
      </c>
      <c r="Q6">
        <v>210</v>
      </c>
      <c r="R6">
        <v>220</v>
      </c>
      <c r="S6">
        <v>229</v>
      </c>
    </row>
    <row r="7" spans="1:19" x14ac:dyDescent="0.25">
      <c r="A7" t="s">
        <v>17</v>
      </c>
      <c r="B7">
        <v>268</v>
      </c>
      <c r="C7">
        <v>287</v>
      </c>
      <c r="D7">
        <v>306</v>
      </c>
      <c r="E7">
        <v>376</v>
      </c>
      <c r="F7">
        <v>394</v>
      </c>
      <c r="G7">
        <v>412</v>
      </c>
      <c r="H7">
        <v>430</v>
      </c>
      <c r="I7">
        <v>448</v>
      </c>
      <c r="J7">
        <v>467</v>
      </c>
      <c r="K7">
        <v>485</v>
      </c>
      <c r="L7">
        <v>503</v>
      </c>
      <c r="M7">
        <v>522</v>
      </c>
      <c r="N7">
        <v>541</v>
      </c>
      <c r="O7">
        <v>560</v>
      </c>
      <c r="P7">
        <v>577</v>
      </c>
      <c r="Q7">
        <v>594</v>
      </c>
      <c r="R7">
        <v>611</v>
      </c>
      <c r="S7">
        <v>629</v>
      </c>
    </row>
    <row r="8" spans="1:19" x14ac:dyDescent="0.25">
      <c r="A8" t="s">
        <v>18</v>
      </c>
      <c r="B8">
        <v>418</v>
      </c>
      <c r="C8">
        <v>478</v>
      </c>
      <c r="D8">
        <v>557</v>
      </c>
      <c r="E8">
        <v>583</v>
      </c>
      <c r="F8">
        <v>609</v>
      </c>
      <c r="G8">
        <v>636</v>
      </c>
      <c r="H8">
        <v>662</v>
      </c>
      <c r="I8">
        <v>714</v>
      </c>
      <c r="J8">
        <v>741</v>
      </c>
      <c r="K8">
        <v>768</v>
      </c>
      <c r="L8">
        <v>795</v>
      </c>
      <c r="M8">
        <v>822</v>
      </c>
      <c r="N8">
        <v>876</v>
      </c>
      <c r="O8">
        <v>939</v>
      </c>
      <c r="P8">
        <v>1007</v>
      </c>
      <c r="Q8">
        <v>1079</v>
      </c>
      <c r="R8">
        <v>1157</v>
      </c>
      <c r="S8">
        <v>1240</v>
      </c>
    </row>
    <row r="9" spans="1:19" x14ac:dyDescent="0.25">
      <c r="A9" t="s">
        <v>19</v>
      </c>
      <c r="B9">
        <v>475</v>
      </c>
      <c r="C9">
        <v>485</v>
      </c>
      <c r="D9">
        <v>509</v>
      </c>
      <c r="E9">
        <v>531</v>
      </c>
      <c r="F9">
        <v>576</v>
      </c>
      <c r="G9">
        <v>599</v>
      </c>
      <c r="H9">
        <v>623</v>
      </c>
      <c r="I9">
        <v>651</v>
      </c>
      <c r="J9">
        <v>675</v>
      </c>
      <c r="K9">
        <v>703</v>
      </c>
      <c r="L9">
        <v>730</v>
      </c>
      <c r="M9">
        <v>754</v>
      </c>
      <c r="N9">
        <v>779</v>
      </c>
      <c r="O9">
        <v>815</v>
      </c>
      <c r="P9">
        <v>845</v>
      </c>
      <c r="Q9">
        <v>875</v>
      </c>
      <c r="R9">
        <v>900</v>
      </c>
      <c r="S9">
        <v>933</v>
      </c>
    </row>
    <row r="10" spans="1:19" x14ac:dyDescent="0.25">
      <c r="A10" t="s">
        <v>20</v>
      </c>
      <c r="B10" s="17">
        <v>38201</v>
      </c>
      <c r="C10" s="17">
        <v>39811</v>
      </c>
      <c r="D10" s="17">
        <v>41524</v>
      </c>
      <c r="E10" s="17">
        <v>43283</v>
      </c>
      <c r="F10" s="17">
        <v>45125</v>
      </c>
      <c r="G10" s="17">
        <v>47085</v>
      </c>
      <c r="H10" s="17">
        <v>49116</v>
      </c>
      <c r="I10" s="17">
        <v>51204</v>
      </c>
      <c r="J10" s="17">
        <v>53399</v>
      </c>
      <c r="K10" s="17">
        <v>55610</v>
      </c>
      <c r="L10" s="17">
        <v>57928</v>
      </c>
      <c r="M10" s="17">
        <v>60313</v>
      </c>
      <c r="N10" s="17">
        <v>62725</v>
      </c>
      <c r="O10" s="17">
        <v>65290</v>
      </c>
      <c r="P10" s="17">
        <v>67857</v>
      </c>
      <c r="Q10" s="17">
        <v>70514</v>
      </c>
      <c r="R10" s="17">
        <v>73240</v>
      </c>
      <c r="S10" s="17">
        <v>75919</v>
      </c>
    </row>
    <row r="11" spans="1:19" x14ac:dyDescent="0.25">
      <c r="A11" t="s">
        <v>21</v>
      </c>
      <c r="B11">
        <v>204</v>
      </c>
      <c r="C11">
        <v>213</v>
      </c>
      <c r="D11">
        <v>223</v>
      </c>
      <c r="E11">
        <v>233</v>
      </c>
      <c r="F11">
        <v>245</v>
      </c>
      <c r="G11">
        <v>255</v>
      </c>
      <c r="H11">
        <v>264</v>
      </c>
      <c r="I11">
        <v>271</v>
      </c>
      <c r="J11">
        <v>278</v>
      </c>
      <c r="K11">
        <v>287</v>
      </c>
      <c r="L11">
        <v>293</v>
      </c>
      <c r="M11">
        <v>300</v>
      </c>
      <c r="N11">
        <v>304</v>
      </c>
      <c r="O11">
        <v>308</v>
      </c>
      <c r="P11">
        <v>311</v>
      </c>
      <c r="Q11">
        <v>315</v>
      </c>
      <c r="R11">
        <v>319</v>
      </c>
      <c r="S11">
        <v>323</v>
      </c>
    </row>
    <row r="12" spans="1:19" x14ac:dyDescent="0.25">
      <c r="A12" t="s">
        <v>22</v>
      </c>
      <c r="B12">
        <v>772</v>
      </c>
      <c r="C12">
        <v>810</v>
      </c>
      <c r="D12">
        <v>844</v>
      </c>
      <c r="E12">
        <v>879</v>
      </c>
      <c r="F12">
        <v>916</v>
      </c>
      <c r="G12">
        <v>955</v>
      </c>
      <c r="H12">
        <v>995</v>
      </c>
      <c r="I12">
        <v>1037</v>
      </c>
      <c r="J12">
        <v>1081</v>
      </c>
      <c r="K12">
        <v>1126</v>
      </c>
      <c r="L12">
        <v>1174</v>
      </c>
      <c r="M12">
        <v>1223</v>
      </c>
      <c r="N12">
        <v>1275</v>
      </c>
      <c r="O12">
        <v>1328</v>
      </c>
      <c r="P12">
        <v>1384</v>
      </c>
      <c r="Q12">
        <v>1442</v>
      </c>
      <c r="R12">
        <v>1503</v>
      </c>
      <c r="S12">
        <v>1566</v>
      </c>
    </row>
    <row r="13" spans="1:19" x14ac:dyDescent="0.25">
      <c r="A13" t="s">
        <v>23</v>
      </c>
      <c r="B13" s="17">
        <v>1753</v>
      </c>
      <c r="C13" s="17">
        <v>1908</v>
      </c>
      <c r="D13" s="17">
        <v>1935</v>
      </c>
      <c r="E13" s="17">
        <v>2095</v>
      </c>
      <c r="F13" s="17">
        <v>2341</v>
      </c>
      <c r="G13" s="17">
        <v>2395</v>
      </c>
      <c r="H13" s="17">
        <v>2420</v>
      </c>
      <c r="I13" s="17">
        <v>2446</v>
      </c>
      <c r="J13" s="17">
        <v>2494</v>
      </c>
      <c r="K13" s="17">
        <v>2544</v>
      </c>
      <c r="L13" s="17">
        <v>2589</v>
      </c>
      <c r="M13" s="17">
        <v>2635</v>
      </c>
      <c r="N13" s="17">
        <v>2682</v>
      </c>
      <c r="O13" s="17">
        <v>2729</v>
      </c>
      <c r="P13" s="17">
        <v>2777</v>
      </c>
      <c r="Q13" s="17">
        <v>2826</v>
      </c>
      <c r="R13">
        <v>2876</v>
      </c>
      <c r="S13">
        <v>2926</v>
      </c>
    </row>
    <row r="14" spans="1:19" x14ac:dyDescent="0.25">
      <c r="A14" t="s">
        <v>24</v>
      </c>
      <c r="B14" s="17">
        <v>2186</v>
      </c>
      <c r="C14" s="17">
        <v>2230</v>
      </c>
      <c r="D14" s="17">
        <v>2281</v>
      </c>
      <c r="E14">
        <v>2345</v>
      </c>
      <c r="F14" s="17">
        <v>2414</v>
      </c>
      <c r="G14" s="17">
        <v>2484</v>
      </c>
      <c r="H14" s="17">
        <v>2558</v>
      </c>
      <c r="I14" s="17">
        <v>2643</v>
      </c>
      <c r="J14" s="17">
        <v>2731</v>
      </c>
      <c r="K14" s="17">
        <v>2822</v>
      </c>
      <c r="L14" s="17">
        <v>2917</v>
      </c>
      <c r="M14" s="17">
        <v>3014</v>
      </c>
      <c r="N14" s="17">
        <v>3115</v>
      </c>
      <c r="O14" s="17">
        <v>3220</v>
      </c>
      <c r="P14" s="17">
        <v>3327</v>
      </c>
      <c r="Q14" s="17">
        <v>3439</v>
      </c>
      <c r="R14">
        <v>3554</v>
      </c>
      <c r="S14">
        <v>3674</v>
      </c>
    </row>
    <row r="15" spans="1:19" x14ac:dyDescent="0.25">
      <c r="A15" t="s">
        <v>33</v>
      </c>
      <c r="B15" s="17">
        <v>45091</v>
      </c>
      <c r="C15" s="17">
        <v>47028</v>
      </c>
      <c r="D15" s="17">
        <v>49151</v>
      </c>
      <c r="E15" s="17">
        <v>51298</v>
      </c>
      <c r="F15" s="17">
        <v>53611</v>
      </c>
      <c r="G15" s="17">
        <v>55854</v>
      </c>
      <c r="H15" s="17">
        <v>58137</v>
      </c>
      <c r="I15" s="17">
        <v>60503</v>
      </c>
      <c r="J15" s="17">
        <v>55854</v>
      </c>
      <c r="K15" s="17">
        <v>58137</v>
      </c>
      <c r="L15" s="17">
        <v>60503</v>
      </c>
      <c r="M15" s="17">
        <v>62973</v>
      </c>
      <c r="N15" s="17">
        <v>65534</v>
      </c>
      <c r="O15" s="17">
        <v>68168</v>
      </c>
      <c r="P15" s="17">
        <v>70893</v>
      </c>
      <c r="Q15" s="17">
        <v>73622</v>
      </c>
      <c r="R15" s="17">
        <v>76522</v>
      </c>
      <c r="S15" s="17">
        <v>85515</v>
      </c>
    </row>
    <row r="16" spans="1:19" x14ac:dyDescent="0.25">
      <c r="A16" t="s">
        <v>25</v>
      </c>
      <c r="B16">
        <v>47028</v>
      </c>
      <c r="C16" s="17">
        <v>49250</v>
      </c>
      <c r="D16" s="17">
        <v>51414</v>
      </c>
      <c r="E16" s="17">
        <v>53771</v>
      </c>
      <c r="F16" s="17">
        <v>56241</v>
      </c>
      <c r="G16" s="17">
        <v>58647</v>
      </c>
      <c r="H16" s="17">
        <v>61102</v>
      </c>
      <c r="I16" s="17">
        <v>63645</v>
      </c>
      <c r="J16" s="17">
        <v>66282</v>
      </c>
      <c r="K16" s="17">
        <v>69017</v>
      </c>
      <c r="L16" s="17">
        <v>71832</v>
      </c>
      <c r="M16" s="17">
        <v>74747</v>
      </c>
      <c r="N16" s="17">
        <v>77664</v>
      </c>
      <c r="O16" s="17">
        <v>80757</v>
      </c>
      <c r="P16" s="17">
        <v>83859</v>
      </c>
      <c r="Q16" s="17">
        <v>87071</v>
      </c>
      <c r="R16" s="17">
        <v>90363</v>
      </c>
      <c r="S16" s="17">
        <v>93637</v>
      </c>
    </row>
    <row r="18" spans="1:21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theme="5"/>
  </sheetPr>
  <dimension ref="A1:AR100"/>
  <sheetViews>
    <sheetView workbookViewId="0"/>
  </sheetViews>
  <sheetFormatPr defaultRowHeight="15" x14ac:dyDescent="0.25"/>
  <cols>
    <col min="17" max="17" width="10.140625" bestFit="1" customWidth="1"/>
  </cols>
  <sheetData>
    <row r="1" spans="2:29" x14ac:dyDescent="0.25">
      <c r="C1" t="s">
        <v>97</v>
      </c>
      <c r="D1" t="s">
        <v>98</v>
      </c>
      <c r="E1" t="s">
        <v>32</v>
      </c>
      <c r="F1" t="s">
        <v>99</v>
      </c>
      <c r="G1" t="s">
        <v>100</v>
      </c>
      <c r="H1" t="s">
        <v>101</v>
      </c>
      <c r="I1" t="s">
        <v>102</v>
      </c>
      <c r="J1" t="s">
        <v>107</v>
      </c>
      <c r="K1" t="s">
        <v>103</v>
      </c>
      <c r="L1" t="s">
        <v>104</v>
      </c>
      <c r="M1" t="s">
        <v>105</v>
      </c>
      <c r="N1" t="s">
        <v>106</v>
      </c>
      <c r="Q1" t="s">
        <v>97</v>
      </c>
      <c r="R1" t="s">
        <v>98</v>
      </c>
      <c r="S1" t="s">
        <v>32</v>
      </c>
      <c r="T1" t="s">
        <v>99</v>
      </c>
      <c r="U1" t="s">
        <v>100</v>
      </c>
      <c r="V1" t="s">
        <v>101</v>
      </c>
      <c r="W1" t="s">
        <v>102</v>
      </c>
      <c r="X1" t="s">
        <v>107</v>
      </c>
      <c r="Y1" t="s">
        <v>103</v>
      </c>
      <c r="Z1" t="s">
        <v>104</v>
      </c>
      <c r="AA1" t="s">
        <v>105</v>
      </c>
      <c r="AB1" t="s">
        <v>106</v>
      </c>
    </row>
    <row r="2" spans="2:29" x14ac:dyDescent="0.25"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  <c r="K2" t="s">
        <v>21</v>
      </c>
      <c r="L2" t="s">
        <v>22</v>
      </c>
      <c r="M2" t="s">
        <v>23</v>
      </c>
      <c r="N2" t="s">
        <v>24</v>
      </c>
      <c r="O2" t="s">
        <v>25</v>
      </c>
      <c r="Q2" t="str">
        <f>C2</f>
        <v>Angola</v>
      </c>
      <c r="R2" t="str">
        <f t="shared" ref="R2:AB2" si="0">D2</f>
        <v>Botswana</v>
      </c>
      <c r="S2" t="str">
        <f t="shared" si="0"/>
        <v>Democratic Republic of Congo</v>
      </c>
      <c r="T2" t="str">
        <f t="shared" si="0"/>
        <v>Lesotho</v>
      </c>
      <c r="U2" t="str">
        <f t="shared" si="0"/>
        <v>Malawi</v>
      </c>
      <c r="V2" t="str">
        <f t="shared" si="0"/>
        <v>Mozambique</v>
      </c>
      <c r="W2" t="str">
        <f t="shared" si="0"/>
        <v>Namibia</v>
      </c>
      <c r="X2" t="str">
        <f t="shared" si="0"/>
        <v>South Africa</v>
      </c>
      <c r="Y2" t="str">
        <f t="shared" si="0"/>
        <v>Swaziland</v>
      </c>
      <c r="Z2" t="str">
        <f t="shared" si="0"/>
        <v>Tanzania</v>
      </c>
      <c r="AA2" t="str">
        <f t="shared" si="0"/>
        <v>Zambia</v>
      </c>
      <c r="AB2" t="str">
        <f t="shared" si="0"/>
        <v>Zimbabwe</v>
      </c>
    </row>
    <row r="3" spans="2:29" x14ac:dyDescent="0.25">
      <c r="B3">
        <v>2006</v>
      </c>
      <c r="C3" s="17">
        <v>3529</v>
      </c>
      <c r="D3" s="17">
        <v>2627</v>
      </c>
      <c r="E3" s="17">
        <v>5485</v>
      </c>
      <c r="F3">
        <v>490</v>
      </c>
      <c r="G3" s="17">
        <v>1266</v>
      </c>
      <c r="H3" s="17">
        <v>2622</v>
      </c>
      <c r="I3" s="17">
        <v>2533</v>
      </c>
      <c r="J3" s="104">
        <v>226571</v>
      </c>
      <c r="K3" s="17">
        <v>1064</v>
      </c>
      <c r="L3" s="17">
        <v>3556</v>
      </c>
      <c r="M3" s="17">
        <v>10214</v>
      </c>
      <c r="N3" s="104">
        <v>11172</v>
      </c>
      <c r="O3" s="17">
        <f>SUM(C3:N3)</f>
        <v>271129</v>
      </c>
    </row>
    <row r="4" spans="2:29" x14ac:dyDescent="0.25">
      <c r="B4">
        <v>2007</v>
      </c>
      <c r="C4" s="17">
        <v>4509</v>
      </c>
      <c r="D4" s="17">
        <v>2847</v>
      </c>
      <c r="E4" s="17">
        <v>6274</v>
      </c>
      <c r="F4">
        <v>512</v>
      </c>
      <c r="G4" s="17">
        <v>1315</v>
      </c>
      <c r="H4" s="17">
        <v>2873</v>
      </c>
      <c r="I4" s="17">
        <v>2653</v>
      </c>
      <c r="J4" s="104">
        <v>249540.99714928857</v>
      </c>
      <c r="K4" s="17">
        <v>1098</v>
      </c>
      <c r="L4" s="17">
        <v>4171</v>
      </c>
      <c r="M4" s="17">
        <v>11355</v>
      </c>
      <c r="N4" s="104">
        <f t="shared" ref="N4:N12" si="1">N3*(1+AB4)</f>
        <v>10278.24</v>
      </c>
      <c r="O4" s="17">
        <f t="shared" ref="O4:O30" si="2">SUM(C4:N4)</f>
        <v>297426.23714928853</v>
      </c>
      <c r="Q4" s="19">
        <f>C4/C3-1</f>
        <v>0.2776990648909039</v>
      </c>
      <c r="R4" s="19">
        <f t="shared" ref="R4:AC19" si="3">D4/D3-1</f>
        <v>8.3745717548534548E-2</v>
      </c>
      <c r="S4" s="19">
        <f t="shared" si="3"/>
        <v>0.14384685505925243</v>
      </c>
      <c r="T4" s="19">
        <f t="shared" si="3"/>
        <v>4.4897959183673564E-2</v>
      </c>
      <c r="U4" s="19">
        <f t="shared" si="3"/>
        <v>3.8704581358609769E-2</v>
      </c>
      <c r="V4" s="19">
        <f t="shared" si="3"/>
        <v>9.5728451563691808E-2</v>
      </c>
      <c r="W4" s="19">
        <f t="shared" si="3"/>
        <v>4.7374654559810603E-2</v>
      </c>
      <c r="X4" s="19">
        <f t="shared" si="3"/>
        <v>0.10138101146787792</v>
      </c>
      <c r="Y4" s="19">
        <f t="shared" si="3"/>
        <v>3.1954887218045069E-2</v>
      </c>
      <c r="Z4" s="19">
        <f t="shared" si="3"/>
        <v>0.17294713160854891</v>
      </c>
      <c r="AA4" s="19">
        <f t="shared" si="3"/>
        <v>0.11170941844527116</v>
      </c>
      <c r="AB4" s="105">
        <v>-0.08</v>
      </c>
      <c r="AC4" s="19">
        <f t="shared" si="3"/>
        <v>9.699160602255219E-2</v>
      </c>
    </row>
    <row r="5" spans="2:29" x14ac:dyDescent="0.25">
      <c r="B5">
        <v>2008</v>
      </c>
      <c r="C5" s="17">
        <v>5105</v>
      </c>
      <c r="D5" s="17">
        <v>3201</v>
      </c>
      <c r="E5" s="17">
        <v>7177</v>
      </c>
      <c r="F5">
        <v>528</v>
      </c>
      <c r="G5" s="17">
        <v>1405</v>
      </c>
      <c r="H5" s="17">
        <v>3240</v>
      </c>
      <c r="I5" s="17">
        <v>2900</v>
      </c>
      <c r="J5" s="104">
        <v>251903.80083209227</v>
      </c>
      <c r="K5" s="17">
        <v>1154</v>
      </c>
      <c r="L5" s="17">
        <v>4414</v>
      </c>
      <c r="M5" s="17">
        <v>12191</v>
      </c>
      <c r="N5" s="104">
        <f t="shared" si="1"/>
        <v>9558.7631999999994</v>
      </c>
      <c r="O5" s="17">
        <f t="shared" si="2"/>
        <v>302777.56403209228</v>
      </c>
      <c r="Q5" s="19">
        <f t="shared" ref="Q5:AC22" si="4">C5/C4-1</f>
        <v>0.13218008427589267</v>
      </c>
      <c r="R5" s="19">
        <f t="shared" si="3"/>
        <v>0.12434141201264493</v>
      </c>
      <c r="S5" s="19">
        <f t="shared" si="3"/>
        <v>0.14392731909467638</v>
      </c>
      <c r="T5" s="19">
        <f t="shared" si="3"/>
        <v>3.125E-2</v>
      </c>
      <c r="U5" s="19">
        <f t="shared" si="3"/>
        <v>6.8441064638783189E-2</v>
      </c>
      <c r="V5" s="19">
        <f t="shared" si="3"/>
        <v>0.12774103724329966</v>
      </c>
      <c r="W5" s="19">
        <f t="shared" si="3"/>
        <v>9.310214851111942E-2</v>
      </c>
      <c r="X5" s="19">
        <f t="shared" si="3"/>
        <v>9.4685991872915931E-3</v>
      </c>
      <c r="Y5" s="19">
        <f t="shared" si="3"/>
        <v>5.1001821493624755E-2</v>
      </c>
      <c r="Z5" s="19">
        <f t="shared" si="3"/>
        <v>5.8259410213377993E-2</v>
      </c>
      <c r="AA5" s="19">
        <f t="shared" si="3"/>
        <v>7.3623954205195963E-2</v>
      </c>
      <c r="AB5" s="105">
        <v>-7.0000000000000007E-2</v>
      </c>
      <c r="AC5" s="19">
        <f t="shared" si="3"/>
        <v>1.7992114394796088E-2</v>
      </c>
    </row>
    <row r="6" spans="2:29" x14ac:dyDescent="0.25">
      <c r="B6">
        <v>2009</v>
      </c>
      <c r="C6" s="17">
        <v>5784</v>
      </c>
      <c r="D6" s="17">
        <v>3838</v>
      </c>
      <c r="E6" s="17">
        <v>8209</v>
      </c>
      <c r="F6">
        <v>554</v>
      </c>
      <c r="G6" s="17">
        <v>1503</v>
      </c>
      <c r="H6" s="17">
        <v>3505</v>
      </c>
      <c r="I6" s="17">
        <v>2943</v>
      </c>
      <c r="J6" s="104">
        <v>247699.80256140573</v>
      </c>
      <c r="K6" s="17">
        <v>1205</v>
      </c>
      <c r="L6" s="17">
        <v>4628</v>
      </c>
      <c r="M6" s="17">
        <v>13117</v>
      </c>
      <c r="N6" s="104">
        <f t="shared" si="1"/>
        <v>9751.9305017998104</v>
      </c>
      <c r="O6" s="17">
        <f t="shared" si="2"/>
        <v>302737.73306320549</v>
      </c>
      <c r="Q6" s="19">
        <f t="shared" si="4"/>
        <v>0.13300685602350626</v>
      </c>
      <c r="R6" s="19">
        <f t="shared" si="3"/>
        <v>0.19900031240237426</v>
      </c>
      <c r="S6" s="19">
        <f t="shared" si="3"/>
        <v>0.14379267103246485</v>
      </c>
      <c r="T6" s="19">
        <f t="shared" si="3"/>
        <v>4.924242424242431E-2</v>
      </c>
      <c r="U6" s="19">
        <f t="shared" si="3"/>
        <v>6.9750889679715211E-2</v>
      </c>
      <c r="V6" s="19">
        <f t="shared" si="3"/>
        <v>8.1790123456790154E-2</v>
      </c>
      <c r="W6" s="19">
        <f t="shared" si="3"/>
        <v>1.4827586206896504E-2</v>
      </c>
      <c r="X6" s="19">
        <f t="shared" si="3"/>
        <v>-1.668890368783571E-2</v>
      </c>
      <c r="Y6" s="19">
        <f t="shared" si="3"/>
        <v>4.4194107452339759E-2</v>
      </c>
      <c r="Z6" s="19">
        <f t="shared" si="3"/>
        <v>4.84821024014499E-2</v>
      </c>
      <c r="AA6" s="19">
        <f t="shared" si="3"/>
        <v>7.5957673693708427E-2</v>
      </c>
      <c r="AB6" s="105">
        <v>2.0208399115882569E-2</v>
      </c>
      <c r="AC6" s="19">
        <f t="shared" si="3"/>
        <v>-1.3155191671521127E-4</v>
      </c>
    </row>
    <row r="7" spans="2:29" x14ac:dyDescent="0.25">
      <c r="B7">
        <v>2010</v>
      </c>
      <c r="C7" s="17">
        <v>6343</v>
      </c>
      <c r="D7" s="17">
        <v>4202</v>
      </c>
      <c r="E7" s="17">
        <v>9390</v>
      </c>
      <c r="F7">
        <v>576</v>
      </c>
      <c r="G7" s="17">
        <v>1600</v>
      </c>
      <c r="H7" s="17">
        <v>3758</v>
      </c>
      <c r="I7" s="104">
        <v>3648</v>
      </c>
      <c r="J7" s="104">
        <v>258870.09788758156</v>
      </c>
      <c r="K7" s="17">
        <v>1262</v>
      </c>
      <c r="L7" s="17">
        <v>4820</v>
      </c>
      <c r="M7" s="104">
        <v>13509</v>
      </c>
      <c r="N7" s="104">
        <f t="shared" si="1"/>
        <v>10142.007721871803</v>
      </c>
      <c r="O7" s="17">
        <f t="shared" si="2"/>
        <v>318120.10560945334</v>
      </c>
      <c r="P7" s="83">
        <f t="shared" ref="P7:P26" si="5">J7/O7</f>
        <v>0.81374956603776794</v>
      </c>
      <c r="Q7" s="19">
        <f t="shared" si="4"/>
        <v>9.6645919778699962E-2</v>
      </c>
      <c r="R7" s="19">
        <f t="shared" si="3"/>
        <v>9.4841063053673791E-2</v>
      </c>
      <c r="S7" s="19">
        <f t="shared" si="3"/>
        <v>0.14386648800097457</v>
      </c>
      <c r="T7" s="19">
        <f t="shared" si="3"/>
        <v>3.971119133573997E-2</v>
      </c>
      <c r="U7" s="19">
        <f t="shared" si="3"/>
        <v>6.4537591483699197E-2</v>
      </c>
      <c r="V7" s="19">
        <f t="shared" si="3"/>
        <v>7.2182596291012757E-2</v>
      </c>
      <c r="W7" s="19">
        <f t="shared" si="3"/>
        <v>0.23955147808358812</v>
      </c>
      <c r="X7" s="19">
        <f t="shared" si="3"/>
        <v>4.5096101049199255E-2</v>
      </c>
      <c r="Y7" s="19">
        <f t="shared" si="3"/>
        <v>4.7302904564315407E-2</v>
      </c>
      <c r="Z7" s="19">
        <f t="shared" si="3"/>
        <v>4.1486603284356161E-2</v>
      </c>
      <c r="AA7" s="19">
        <f t="shared" si="3"/>
        <v>2.9884882213920827E-2</v>
      </c>
      <c r="AB7" s="105">
        <v>0.04</v>
      </c>
      <c r="AC7" s="19">
        <f t="shared" si="3"/>
        <v>5.0810886342457673E-2</v>
      </c>
    </row>
    <row r="8" spans="2:29" x14ac:dyDescent="0.25">
      <c r="B8">
        <v>2011</v>
      </c>
      <c r="C8" s="17">
        <v>6929</v>
      </c>
      <c r="D8" s="17">
        <v>4545</v>
      </c>
      <c r="E8" s="104">
        <f t="shared" ref="E8:G23" si="6">E7*(1+S8)</f>
        <v>10141.200000000001</v>
      </c>
      <c r="F8">
        <v>600</v>
      </c>
      <c r="G8" s="17">
        <v>1971</v>
      </c>
      <c r="H8" s="17">
        <v>3996</v>
      </c>
      <c r="I8" s="104">
        <f t="shared" ref="I8:I23" si="7">I7*(1+W8)</f>
        <v>3708.9625668449194</v>
      </c>
      <c r="J8" s="104">
        <v>265867.53575487441</v>
      </c>
      <c r="K8" s="17">
        <v>1319</v>
      </c>
      <c r="L8" s="17">
        <v>5021</v>
      </c>
      <c r="M8" s="104">
        <f t="shared" ref="L8:N23" si="8">M7*(1+AA8)</f>
        <v>14116.146067415732</v>
      </c>
      <c r="N8" s="104">
        <f t="shared" si="1"/>
        <v>10547.688030746676</v>
      </c>
      <c r="O8" s="17">
        <f t="shared" si="2"/>
        <v>328762.53241988167</v>
      </c>
      <c r="P8" s="83">
        <f t="shared" si="5"/>
        <v>0.80869171373616133</v>
      </c>
      <c r="Q8" s="19">
        <f t="shared" si="4"/>
        <v>9.2385306637237985E-2</v>
      </c>
      <c r="R8" s="19">
        <f t="shared" si="3"/>
        <v>8.1627796287482068E-2</v>
      </c>
      <c r="S8" s="105">
        <v>0.08</v>
      </c>
      <c r="T8" s="19">
        <f t="shared" si="3"/>
        <v>4.1666666666666741E-2</v>
      </c>
      <c r="U8" s="19">
        <f t="shared" si="3"/>
        <v>0.23187500000000005</v>
      </c>
      <c r="V8" s="19">
        <f t="shared" si="3"/>
        <v>6.3331559340074506E-2</v>
      </c>
      <c r="W8" s="105">
        <v>1.6711229946523964E-2</v>
      </c>
      <c r="X8" s="19">
        <f t="shared" si="3"/>
        <v>2.7030691935426177E-2</v>
      </c>
      <c r="Y8" s="19">
        <f t="shared" si="3"/>
        <v>4.5166402535657735E-2</v>
      </c>
      <c r="Z8" s="19">
        <f t="shared" si="3"/>
        <v>4.1701244813278082E-2</v>
      </c>
      <c r="AA8" s="105">
        <v>4.4943820224719211E-2</v>
      </c>
      <c r="AB8" s="105">
        <v>0.04</v>
      </c>
      <c r="AC8" s="19">
        <f t="shared" si="3"/>
        <v>3.3454115671311069E-2</v>
      </c>
    </row>
    <row r="9" spans="2:29" x14ac:dyDescent="0.25">
      <c r="B9">
        <v>2012</v>
      </c>
      <c r="C9" s="17">
        <v>7516</v>
      </c>
      <c r="D9" s="17">
        <v>4659</v>
      </c>
      <c r="E9" s="104">
        <f t="shared" si="6"/>
        <v>10952.496000000001</v>
      </c>
      <c r="F9">
        <v>625</v>
      </c>
      <c r="G9" s="104">
        <f t="shared" si="6"/>
        <v>2065</v>
      </c>
      <c r="H9" s="17">
        <v>4269</v>
      </c>
      <c r="I9" s="104">
        <f t="shared" si="7"/>
        <v>3800.4064171122991</v>
      </c>
      <c r="J9" s="104">
        <v>273591.12283481081</v>
      </c>
      <c r="K9" s="17">
        <v>1386</v>
      </c>
      <c r="L9" s="104">
        <f t="shared" si="8"/>
        <v>5472.89</v>
      </c>
      <c r="M9" s="104">
        <f t="shared" si="8"/>
        <v>14821.953370786519</v>
      </c>
      <c r="N9" s="104">
        <f t="shared" si="1"/>
        <v>10969.595551976543</v>
      </c>
      <c r="O9" s="17">
        <f t="shared" si="2"/>
        <v>340128.46417468617</v>
      </c>
      <c r="P9" s="83">
        <f t="shared" si="5"/>
        <v>0.80437585104402631</v>
      </c>
      <c r="Q9" s="19">
        <f t="shared" si="4"/>
        <v>8.4716409294270489E-2</v>
      </c>
      <c r="R9" s="19">
        <f t="shared" si="3"/>
        <v>2.5082508250825031E-2</v>
      </c>
      <c r="S9" s="105">
        <v>0.08</v>
      </c>
      <c r="T9" s="19">
        <f t="shared" si="3"/>
        <v>4.1666666666666741E-2</v>
      </c>
      <c r="U9" s="19">
        <v>4.7691527143582046E-2</v>
      </c>
      <c r="V9" s="19">
        <f t="shared" si="3"/>
        <v>6.831831831831825E-2</v>
      </c>
      <c r="W9" s="105">
        <v>2.4654832347140054E-2</v>
      </c>
      <c r="X9" s="19">
        <f t="shared" si="3"/>
        <v>2.9050508396998964E-2</v>
      </c>
      <c r="Y9" s="19">
        <f t="shared" si="3"/>
        <v>5.0796057619408641E-2</v>
      </c>
      <c r="Z9" s="105">
        <v>0.09</v>
      </c>
      <c r="AA9" s="105">
        <v>0.05</v>
      </c>
      <c r="AB9" s="105">
        <v>0.04</v>
      </c>
      <c r="AC9" s="19">
        <f t="shared" si="3"/>
        <v>3.4571858511809994E-2</v>
      </c>
    </row>
    <row r="10" spans="2:29" x14ac:dyDescent="0.25">
      <c r="B10">
        <v>2013</v>
      </c>
      <c r="C10" s="17">
        <v>8122</v>
      </c>
      <c r="D10" s="17">
        <v>4935</v>
      </c>
      <c r="E10" s="104">
        <f t="shared" si="6"/>
        <v>11828.695680000003</v>
      </c>
      <c r="F10">
        <v>651</v>
      </c>
      <c r="G10" s="104">
        <f t="shared" si="6"/>
        <v>2158</v>
      </c>
      <c r="H10" s="17">
        <v>4464</v>
      </c>
      <c r="I10" s="104">
        <f t="shared" si="7"/>
        <v>3871.1229946524063</v>
      </c>
      <c r="J10" s="104">
        <v>283104.07760265277</v>
      </c>
      <c r="K10" s="17">
        <v>1443</v>
      </c>
      <c r="L10" s="104">
        <f t="shared" si="8"/>
        <v>6074.9079000000011</v>
      </c>
      <c r="M10" s="104">
        <f t="shared" si="8"/>
        <v>15563.051039325846</v>
      </c>
      <c r="N10" s="104">
        <f t="shared" si="1"/>
        <v>11408.379374055605</v>
      </c>
      <c r="O10" s="17">
        <f t="shared" si="2"/>
        <v>353623.23459068662</v>
      </c>
      <c r="P10" s="83">
        <f t="shared" si="5"/>
        <v>0.80058109849693937</v>
      </c>
      <c r="Q10" s="19">
        <f t="shared" si="4"/>
        <v>8.0627993613624271E-2</v>
      </c>
      <c r="R10" s="19">
        <f t="shared" si="3"/>
        <v>5.9240180296200817E-2</v>
      </c>
      <c r="S10" s="105">
        <v>0.08</v>
      </c>
      <c r="T10" s="19">
        <f t="shared" si="3"/>
        <v>4.1600000000000081E-2</v>
      </c>
      <c r="U10" s="19">
        <v>4.5036319612590692E-2</v>
      </c>
      <c r="V10" s="19">
        <f t="shared" si="3"/>
        <v>4.5678144764581763E-2</v>
      </c>
      <c r="W10" s="105">
        <v>1.8607635547000401E-2</v>
      </c>
      <c r="X10" s="19">
        <f t="shared" si="3"/>
        <v>3.4770699682334705E-2</v>
      </c>
      <c r="Y10" s="19">
        <f t="shared" si="3"/>
        <v>4.1125541125541121E-2</v>
      </c>
      <c r="Z10" s="105">
        <v>0.11</v>
      </c>
      <c r="AA10" s="105">
        <v>0.05</v>
      </c>
      <c r="AB10" s="105">
        <v>0.04</v>
      </c>
      <c r="AC10" s="19">
        <f t="shared" si="3"/>
        <v>3.967551039500683E-2</v>
      </c>
    </row>
    <row r="11" spans="2:29" x14ac:dyDescent="0.25">
      <c r="B11">
        <v>2014</v>
      </c>
      <c r="C11" s="17">
        <v>8772</v>
      </c>
      <c r="D11" s="17">
        <v>5173</v>
      </c>
      <c r="E11" s="104">
        <f t="shared" si="6"/>
        <v>12774.991334400003</v>
      </c>
      <c r="F11">
        <v>678</v>
      </c>
      <c r="G11" s="104">
        <f t="shared" si="6"/>
        <v>2253</v>
      </c>
      <c r="H11" s="17">
        <v>4678</v>
      </c>
      <c r="I11" s="104">
        <f t="shared" si="7"/>
        <v>3969.8823529411766</v>
      </c>
      <c r="J11" s="104">
        <v>289731.43942493433</v>
      </c>
      <c r="K11" s="17">
        <v>1494</v>
      </c>
      <c r="L11" s="104">
        <f t="shared" si="8"/>
        <v>6682.3986900000018</v>
      </c>
      <c r="M11" s="104">
        <f t="shared" si="8"/>
        <v>16341.20359129214</v>
      </c>
      <c r="N11" s="104">
        <f t="shared" si="1"/>
        <v>11864.71454901783</v>
      </c>
      <c r="O11" s="17">
        <f t="shared" si="2"/>
        <v>364412.62994258548</v>
      </c>
      <c r="P11" s="83">
        <f t="shared" si="5"/>
        <v>0.79506420913726994</v>
      </c>
      <c r="Q11" s="19">
        <f t="shared" si="4"/>
        <v>8.0029549372075737E-2</v>
      </c>
      <c r="R11" s="19">
        <f t="shared" si="3"/>
        <v>4.8226950354609999E-2</v>
      </c>
      <c r="S11" s="105">
        <v>0.08</v>
      </c>
      <c r="T11" s="19">
        <f t="shared" si="3"/>
        <v>4.1474654377880116E-2</v>
      </c>
      <c r="U11" s="19">
        <v>4.4022242817423507E-2</v>
      </c>
      <c r="V11" s="19">
        <f t="shared" si="3"/>
        <v>4.7939068100358417E-2</v>
      </c>
      <c r="W11" s="105">
        <v>2.55118110236221E-2</v>
      </c>
      <c r="X11" s="19">
        <f t="shared" si="3"/>
        <v>2.3409630403074866E-2</v>
      </c>
      <c r="Y11" s="19">
        <f t="shared" si="3"/>
        <v>3.5343035343035289E-2</v>
      </c>
      <c r="Z11" s="105">
        <v>0.1</v>
      </c>
      <c r="AA11" s="105">
        <v>0.05</v>
      </c>
      <c r="AB11" s="105">
        <v>0.04</v>
      </c>
      <c r="AC11" s="19">
        <f t="shared" si="3"/>
        <v>3.0510991067618676E-2</v>
      </c>
    </row>
    <row r="12" spans="2:29" x14ac:dyDescent="0.25">
      <c r="B12">
        <v>2015</v>
      </c>
      <c r="C12" s="17">
        <v>9437</v>
      </c>
      <c r="D12" s="17">
        <v>5298</v>
      </c>
      <c r="E12" s="104">
        <f t="shared" si="6"/>
        <v>13796.990641152004</v>
      </c>
      <c r="F12">
        <v>706</v>
      </c>
      <c r="G12" s="104">
        <f t="shared" si="6"/>
        <v>2347</v>
      </c>
      <c r="H12" s="17">
        <v>4898</v>
      </c>
      <c r="I12" s="104">
        <f t="shared" si="7"/>
        <v>4088.1497326203207</v>
      </c>
      <c r="J12" s="104">
        <v>299618.47105989564</v>
      </c>
      <c r="K12" s="17">
        <v>1534</v>
      </c>
      <c r="L12" s="104">
        <f t="shared" si="8"/>
        <v>7350.6385590000027</v>
      </c>
      <c r="M12" s="104">
        <f t="shared" si="8"/>
        <v>17158.263770856749</v>
      </c>
      <c r="N12" s="104">
        <f t="shared" si="1"/>
        <v>12339.303130978544</v>
      </c>
      <c r="O12" s="17">
        <f t="shared" si="2"/>
        <v>378571.81689450325</v>
      </c>
      <c r="P12" s="83">
        <f t="shared" si="5"/>
        <v>0.79144420606299504</v>
      </c>
      <c r="Q12" s="19">
        <f t="shared" si="4"/>
        <v>7.5809393524851831E-2</v>
      </c>
      <c r="R12" s="19">
        <f t="shared" si="3"/>
        <v>2.4163928088150044E-2</v>
      </c>
      <c r="S12" s="105">
        <v>0.08</v>
      </c>
      <c r="T12" s="19">
        <f t="shared" si="3"/>
        <v>4.1297935103244754E-2</v>
      </c>
      <c r="U12" s="19">
        <v>4.1722148246781998E-2</v>
      </c>
      <c r="V12" s="19">
        <f t="shared" si="3"/>
        <v>4.7028644719965706E-2</v>
      </c>
      <c r="W12" s="105">
        <v>2.9791154791154684E-2</v>
      </c>
      <c r="X12" s="19">
        <f t="shared" si="3"/>
        <v>3.4124814533712078E-2</v>
      </c>
      <c r="Y12" s="19">
        <f t="shared" si="3"/>
        <v>2.6773761713520861E-2</v>
      </c>
      <c r="Z12" s="105">
        <v>0.1</v>
      </c>
      <c r="AA12" s="105">
        <v>0.05</v>
      </c>
      <c r="AB12" s="105">
        <v>0.04</v>
      </c>
      <c r="AC12" s="19">
        <f t="shared" si="3"/>
        <v>3.8854819477987412E-2</v>
      </c>
    </row>
    <row r="13" spans="2:29" x14ac:dyDescent="0.25">
      <c r="B13">
        <v>2016</v>
      </c>
      <c r="C13" s="17">
        <v>10032</v>
      </c>
      <c r="D13" s="17">
        <v>5411</v>
      </c>
      <c r="E13" s="104">
        <f t="shared" si="6"/>
        <v>14900.749892444166</v>
      </c>
      <c r="F13">
        <v>736</v>
      </c>
      <c r="G13" s="104">
        <f t="shared" si="6"/>
        <v>2464.35</v>
      </c>
      <c r="H13" s="17">
        <v>5084</v>
      </c>
      <c r="I13" s="104">
        <f t="shared" si="7"/>
        <v>4219.8288770053468</v>
      </c>
      <c r="J13" s="104">
        <v>309438.48892454413</v>
      </c>
      <c r="K13" s="17">
        <v>1573</v>
      </c>
      <c r="L13" s="104">
        <f t="shared" si="8"/>
        <v>7938.689643720003</v>
      </c>
      <c r="M13" s="104">
        <f t="shared" si="8"/>
        <v>18016.176959399589</v>
      </c>
      <c r="N13" s="104">
        <f t="shared" si="8"/>
        <v>12832.875256217685</v>
      </c>
      <c r="O13" s="17">
        <f t="shared" si="2"/>
        <v>392647.15955333092</v>
      </c>
      <c r="P13" s="83">
        <f t="shared" si="5"/>
        <v>0.78808284077887225</v>
      </c>
      <c r="Q13" s="19">
        <f t="shared" si="4"/>
        <v>6.3049697997244802E-2</v>
      </c>
      <c r="R13" s="19">
        <f t="shared" si="3"/>
        <v>2.1328803322008261E-2</v>
      </c>
      <c r="S13" s="105">
        <v>0.08</v>
      </c>
      <c r="T13" s="19">
        <f t="shared" si="3"/>
        <v>4.2492917847025469E-2</v>
      </c>
      <c r="U13" s="105">
        <v>0.05</v>
      </c>
      <c r="V13" s="19">
        <f t="shared" si="3"/>
        <v>3.7974683544303778E-2</v>
      </c>
      <c r="W13" s="105">
        <v>3.2209961228750306E-2</v>
      </c>
      <c r="X13" s="19">
        <f t="shared" si="3"/>
        <v>3.2775075014268351E-2</v>
      </c>
      <c r="Y13" s="19">
        <f t="shared" si="3"/>
        <v>2.5423728813559254E-2</v>
      </c>
      <c r="Z13" s="105">
        <v>0.08</v>
      </c>
      <c r="AA13" s="105">
        <v>0.05</v>
      </c>
      <c r="AB13" s="105">
        <v>0.04</v>
      </c>
      <c r="AC13" s="19">
        <f t="shared" si="3"/>
        <v>3.7180112281707478E-2</v>
      </c>
    </row>
    <row r="14" spans="2:29" x14ac:dyDescent="0.25">
      <c r="B14">
        <v>2017</v>
      </c>
      <c r="C14" s="17">
        <v>10658</v>
      </c>
      <c r="D14" s="17">
        <v>5919</v>
      </c>
      <c r="E14" s="104">
        <f t="shared" si="6"/>
        <v>16092.8098838397</v>
      </c>
      <c r="F14">
        <v>767</v>
      </c>
      <c r="G14" s="104">
        <f t="shared" si="6"/>
        <v>2587.5675000000001</v>
      </c>
      <c r="H14" s="17">
        <v>5302</v>
      </c>
      <c r="I14" s="104">
        <f t="shared" si="7"/>
        <v>4351.5080213903739</v>
      </c>
      <c r="J14" s="104">
        <v>319948.64860286214</v>
      </c>
      <c r="K14" s="17">
        <v>1624</v>
      </c>
      <c r="L14" s="104">
        <f t="shared" si="8"/>
        <v>8811.9455045292034</v>
      </c>
      <c r="M14" s="104">
        <f t="shared" si="8"/>
        <v>18916.985807369569</v>
      </c>
      <c r="N14" s="104">
        <f t="shared" si="8"/>
        <v>13346.190266466392</v>
      </c>
      <c r="O14" s="17">
        <f t="shared" si="2"/>
        <v>408325.6555864574</v>
      </c>
      <c r="P14" s="83">
        <f t="shared" si="5"/>
        <v>0.78356244391094199</v>
      </c>
      <c r="Q14" s="19">
        <f t="shared" si="4"/>
        <v>6.2400318979266345E-2</v>
      </c>
      <c r="R14" s="19">
        <f t="shared" si="3"/>
        <v>9.3882831269636036E-2</v>
      </c>
      <c r="S14" s="105">
        <v>0.08</v>
      </c>
      <c r="T14" s="19">
        <f t="shared" si="3"/>
        <v>4.2119565217391353E-2</v>
      </c>
      <c r="U14" s="105">
        <v>0.05</v>
      </c>
      <c r="V14" s="19">
        <f t="shared" si="3"/>
        <v>4.2879622344610624E-2</v>
      </c>
      <c r="W14" s="105">
        <v>3.120485408841378E-2</v>
      </c>
      <c r="X14" s="19">
        <f t="shared" si="3"/>
        <v>3.3965263063577389E-2</v>
      </c>
      <c r="Y14" s="19">
        <f t="shared" si="3"/>
        <v>3.2422123331214303E-2</v>
      </c>
      <c r="Z14" s="105">
        <v>0.11</v>
      </c>
      <c r="AA14" s="105">
        <v>0.05</v>
      </c>
      <c r="AB14" s="105">
        <v>0.04</v>
      </c>
      <c r="AC14" s="19">
        <f t="shared" si="3"/>
        <v>3.9930241825668844E-2</v>
      </c>
    </row>
    <row r="15" spans="2:29" x14ac:dyDescent="0.25">
      <c r="B15">
        <v>2018</v>
      </c>
      <c r="C15" s="17">
        <v>11316</v>
      </c>
      <c r="D15" s="17">
        <v>6247</v>
      </c>
      <c r="E15" s="104">
        <f t="shared" si="6"/>
        <v>17380.234674546879</v>
      </c>
      <c r="F15">
        <v>798</v>
      </c>
      <c r="G15" s="104">
        <f t="shared" si="6"/>
        <v>2716.9458750000003</v>
      </c>
      <c r="H15" s="17">
        <v>5515</v>
      </c>
      <c r="I15" s="104">
        <f t="shared" si="7"/>
        <v>4496.5989304812829</v>
      </c>
      <c r="J15" s="104">
        <v>331581.03888253839</v>
      </c>
      <c r="K15" s="17">
        <v>1658</v>
      </c>
      <c r="L15" s="104">
        <f t="shared" si="8"/>
        <v>9516.9011448915408</v>
      </c>
      <c r="M15" s="104">
        <f t="shared" si="8"/>
        <v>19862.835097738047</v>
      </c>
      <c r="N15" s="104">
        <f t="shared" si="8"/>
        <v>13880.037877125049</v>
      </c>
      <c r="O15" s="17">
        <f t="shared" si="2"/>
        <v>424968.59248232114</v>
      </c>
      <c r="P15" s="83">
        <f t="shared" si="5"/>
        <v>0.78024834010840993</v>
      </c>
      <c r="Q15" s="19">
        <f t="shared" si="4"/>
        <v>6.1737661850253422E-2</v>
      </c>
      <c r="R15" s="19">
        <f t="shared" si="3"/>
        <v>5.541476600777151E-2</v>
      </c>
      <c r="S15" s="105">
        <v>0.08</v>
      </c>
      <c r="T15" s="19">
        <f t="shared" si="3"/>
        <v>4.041720990873543E-2</v>
      </c>
      <c r="U15" s="105">
        <v>0.05</v>
      </c>
      <c r="V15" s="19">
        <f t="shared" si="3"/>
        <v>4.0173519426631499E-2</v>
      </c>
      <c r="W15" s="105">
        <v>3.3342673017652036E-2</v>
      </c>
      <c r="X15" s="19">
        <f t="shared" si="3"/>
        <v>3.6357053953726792E-2</v>
      </c>
      <c r="Y15" s="19">
        <f t="shared" si="3"/>
        <v>2.0935960591133007E-2</v>
      </c>
      <c r="Z15" s="105">
        <v>0.08</v>
      </c>
      <c r="AA15" s="105">
        <v>0.05</v>
      </c>
      <c r="AB15" s="105">
        <v>0.04</v>
      </c>
      <c r="AC15" s="19">
        <f t="shared" si="3"/>
        <v>4.075897918282978E-2</v>
      </c>
    </row>
    <row r="16" spans="2:29" x14ac:dyDescent="0.25">
      <c r="B16">
        <v>2019</v>
      </c>
      <c r="C16" s="17">
        <v>12008</v>
      </c>
      <c r="D16" s="17">
        <v>6744</v>
      </c>
      <c r="E16" s="104">
        <f t="shared" si="6"/>
        <v>18770.653448510631</v>
      </c>
      <c r="F16">
        <v>832</v>
      </c>
      <c r="G16" s="104">
        <f t="shared" si="6"/>
        <v>2852.7931687500004</v>
      </c>
      <c r="H16" s="17">
        <v>5736</v>
      </c>
      <c r="I16" s="104">
        <f t="shared" si="7"/>
        <v>4647.7860962566847</v>
      </c>
      <c r="J16" s="104">
        <v>343928.57611406065</v>
      </c>
      <c r="K16" s="17">
        <v>1698</v>
      </c>
      <c r="L16" s="104">
        <f t="shared" si="8"/>
        <v>10183.084225033948</v>
      </c>
      <c r="M16" s="104">
        <f t="shared" si="8"/>
        <v>20855.97685262495</v>
      </c>
      <c r="N16" s="104">
        <f t="shared" si="8"/>
        <v>14435.239392210051</v>
      </c>
      <c r="O16" s="17">
        <f t="shared" si="2"/>
        <v>442692.10929744691</v>
      </c>
      <c r="P16" s="83">
        <f t="shared" si="5"/>
        <v>0.77690243148872895</v>
      </c>
      <c r="Q16" s="19">
        <f t="shared" si="4"/>
        <v>6.1152350653941312E-2</v>
      </c>
      <c r="R16" s="19">
        <f t="shared" si="3"/>
        <v>7.9558187930206525E-2</v>
      </c>
      <c r="S16" s="105">
        <v>0.08</v>
      </c>
      <c r="T16" s="19">
        <f t="shared" si="3"/>
        <v>4.2606516290726759E-2</v>
      </c>
      <c r="U16" s="105">
        <v>0.05</v>
      </c>
      <c r="V16" s="19">
        <f t="shared" si="3"/>
        <v>4.0072529465095208E-2</v>
      </c>
      <c r="W16" s="105">
        <v>3.3622559652928485E-2</v>
      </c>
      <c r="X16" s="19">
        <f t="shared" si="3"/>
        <v>3.7238369459045906E-2</v>
      </c>
      <c r="Y16" s="19">
        <f t="shared" si="3"/>
        <v>2.4125452352231624E-2</v>
      </c>
      <c r="Z16" s="105">
        <v>7.0000000000000007E-2</v>
      </c>
      <c r="AA16" s="105">
        <v>0.05</v>
      </c>
      <c r="AB16" s="105">
        <v>0.04</v>
      </c>
      <c r="AC16" s="19">
        <f t="shared" si="3"/>
        <v>4.1705474542481857E-2</v>
      </c>
    </row>
    <row r="17" spans="1:29" x14ac:dyDescent="0.25">
      <c r="B17">
        <v>2020</v>
      </c>
      <c r="C17" s="17">
        <v>12674</v>
      </c>
      <c r="D17" s="17">
        <v>6848</v>
      </c>
      <c r="E17" s="104">
        <f t="shared" si="6"/>
        <v>20272.305724391485</v>
      </c>
      <c r="F17">
        <v>866</v>
      </c>
      <c r="G17" s="104">
        <f t="shared" si="6"/>
        <v>2995.4328271875006</v>
      </c>
      <c r="H17" s="17">
        <v>5966</v>
      </c>
      <c r="I17" s="104">
        <f t="shared" si="7"/>
        <v>4803.8502673796793</v>
      </c>
      <c r="J17" s="104">
        <v>354898.83033482503</v>
      </c>
      <c r="K17" s="17">
        <v>1720</v>
      </c>
      <c r="L17" s="104">
        <f t="shared" si="8"/>
        <v>10895.900120786326</v>
      </c>
      <c r="M17" s="104">
        <f t="shared" si="8"/>
        <v>21898.775695256198</v>
      </c>
      <c r="N17" s="104">
        <f t="shared" si="8"/>
        <v>15012.648967898453</v>
      </c>
      <c r="O17" s="17">
        <f t="shared" si="2"/>
        <v>458851.74393772468</v>
      </c>
      <c r="P17" s="83">
        <f t="shared" si="5"/>
        <v>0.77344988882289589</v>
      </c>
      <c r="Q17" s="19">
        <f t="shared" si="4"/>
        <v>5.5463024650233228E-2</v>
      </c>
      <c r="R17" s="19">
        <f t="shared" si="3"/>
        <v>1.542111506524324E-2</v>
      </c>
      <c r="S17" s="105">
        <v>0.08</v>
      </c>
      <c r="T17" s="19">
        <f t="shared" si="3"/>
        <v>4.0865384615384581E-2</v>
      </c>
      <c r="U17" s="105">
        <v>0.05</v>
      </c>
      <c r="V17" s="19">
        <f t="shared" si="3"/>
        <v>4.0097629009762992E-2</v>
      </c>
      <c r="W17" s="105">
        <v>3.3578174186778664E-2</v>
      </c>
      <c r="X17" s="19">
        <f t="shared" si="3"/>
        <v>3.1896896572869204E-2</v>
      </c>
      <c r="Y17" s="19">
        <f t="shared" si="3"/>
        <v>1.2956419316843437E-2</v>
      </c>
      <c r="Z17" s="105">
        <v>7.0000000000000007E-2</v>
      </c>
      <c r="AA17" s="105">
        <v>0.05</v>
      </c>
      <c r="AB17" s="105">
        <v>0.04</v>
      </c>
      <c r="AC17" s="19">
        <f t="shared" si="3"/>
        <v>3.6503100689829537E-2</v>
      </c>
    </row>
    <row r="18" spans="1:29" x14ac:dyDescent="0.25">
      <c r="B18">
        <v>2021</v>
      </c>
      <c r="C18" s="17">
        <v>13364</v>
      </c>
      <c r="D18" s="17">
        <v>6949</v>
      </c>
      <c r="E18" s="104">
        <f t="shared" si="6"/>
        <v>21894.090182342803</v>
      </c>
      <c r="F18">
        <v>902</v>
      </c>
      <c r="G18" s="104">
        <f t="shared" si="6"/>
        <v>3145.2044685468759</v>
      </c>
      <c r="H18" s="17">
        <v>6205</v>
      </c>
      <c r="I18" s="104">
        <f t="shared" si="7"/>
        <v>4961.1336898395721</v>
      </c>
      <c r="J18" s="104">
        <v>365032.91273496958</v>
      </c>
      <c r="K18" s="17">
        <v>1743</v>
      </c>
      <c r="L18" s="104">
        <f t="shared" si="8"/>
        <v>11658.613129241368</v>
      </c>
      <c r="M18" s="104">
        <f t="shared" si="8"/>
        <v>22993.714480019007</v>
      </c>
      <c r="N18" s="104">
        <f t="shared" si="8"/>
        <v>15613.154926614392</v>
      </c>
      <c r="O18" s="17">
        <f t="shared" si="2"/>
        <v>474461.82361157361</v>
      </c>
      <c r="P18" s="83">
        <f t="shared" si="5"/>
        <v>0.76936203203107467</v>
      </c>
      <c r="Q18" s="19">
        <f t="shared" si="4"/>
        <v>5.4442165062332348E-2</v>
      </c>
      <c r="R18" s="19">
        <f t="shared" si="3"/>
        <v>1.4748831775700966E-2</v>
      </c>
      <c r="S18" s="105">
        <v>0.08</v>
      </c>
      <c r="T18" s="19">
        <f t="shared" si="3"/>
        <v>4.1570438799076292E-2</v>
      </c>
      <c r="U18" s="105">
        <v>0.05</v>
      </c>
      <c r="V18" s="19">
        <f t="shared" si="3"/>
        <v>4.0060341937646626E-2</v>
      </c>
      <c r="W18" s="105">
        <v>3.2741116751269006E-2</v>
      </c>
      <c r="X18" s="19">
        <f t="shared" si="3"/>
        <v>2.8554848689086088E-2</v>
      </c>
      <c r="Y18" s="19">
        <f t="shared" si="3"/>
        <v>1.3372093023255704E-2</v>
      </c>
      <c r="Z18" s="105">
        <v>7.0000000000000007E-2</v>
      </c>
      <c r="AA18" s="105">
        <v>0.05</v>
      </c>
      <c r="AB18" s="105">
        <v>0.04</v>
      </c>
      <c r="AC18" s="19">
        <f t="shared" si="3"/>
        <v>3.4019876528937232E-2</v>
      </c>
    </row>
    <row r="19" spans="1:29" x14ac:dyDescent="0.25">
      <c r="B19">
        <v>2022</v>
      </c>
      <c r="C19" s="17">
        <v>14077</v>
      </c>
      <c r="D19" s="17">
        <v>7049</v>
      </c>
      <c r="E19" s="104">
        <f t="shared" si="6"/>
        <v>23645.617396930229</v>
      </c>
      <c r="F19">
        <v>940</v>
      </c>
      <c r="G19" s="104">
        <f t="shared" si="6"/>
        <v>3302.4646919742199</v>
      </c>
      <c r="H19" s="17">
        <v>6454</v>
      </c>
      <c r="I19" s="104">
        <f t="shared" si="7"/>
        <v>5124.5133689839568</v>
      </c>
      <c r="J19" s="104">
        <v>374241.8050225859</v>
      </c>
      <c r="K19" s="17">
        <v>1760</v>
      </c>
      <c r="L19" s="104">
        <f t="shared" si="8"/>
        <v>12474.716048288265</v>
      </c>
      <c r="M19" s="104">
        <f t="shared" si="8"/>
        <v>24143.400204019959</v>
      </c>
      <c r="N19" s="104">
        <f t="shared" si="8"/>
        <v>16237.681123678969</v>
      </c>
      <c r="O19" s="17">
        <f t="shared" si="2"/>
        <v>489450.19785646157</v>
      </c>
      <c r="P19" s="83">
        <f t="shared" si="5"/>
        <v>0.76461672027424088</v>
      </c>
      <c r="Q19" s="19">
        <f t="shared" si="4"/>
        <v>5.3352289733612723E-2</v>
      </c>
      <c r="R19" s="19">
        <f t="shared" si="3"/>
        <v>1.4390559792776036E-2</v>
      </c>
      <c r="S19" s="105">
        <v>0.08</v>
      </c>
      <c r="T19" s="19">
        <f t="shared" si="3"/>
        <v>4.2128603104212958E-2</v>
      </c>
      <c r="U19" s="105">
        <v>0.05</v>
      </c>
      <c r="V19" s="19">
        <f t="shared" si="3"/>
        <v>4.0128928283642118E-2</v>
      </c>
      <c r="W19" s="105">
        <v>3.2931924305726223E-2</v>
      </c>
      <c r="X19" s="19">
        <f t="shared" si="3"/>
        <v>2.5227567066815171E-2</v>
      </c>
      <c r="Y19" s="19">
        <f t="shared" si="3"/>
        <v>9.7532989099253786E-3</v>
      </c>
      <c r="Z19" s="105">
        <v>7.0000000000000007E-2</v>
      </c>
      <c r="AA19" s="105">
        <v>0.05</v>
      </c>
      <c r="AB19" s="105">
        <v>0.04</v>
      </c>
      <c r="AC19" s="19">
        <f t="shared" si="3"/>
        <v>3.1590263955901365E-2</v>
      </c>
    </row>
    <row r="20" spans="1:29" x14ac:dyDescent="0.25">
      <c r="B20">
        <v>2023</v>
      </c>
      <c r="C20" s="17">
        <v>14812</v>
      </c>
      <c r="D20" s="17">
        <v>7147</v>
      </c>
      <c r="E20" s="104">
        <f t="shared" si="6"/>
        <v>25537.26678868465</v>
      </c>
      <c r="F20">
        <v>979</v>
      </c>
      <c r="G20" s="104">
        <f t="shared" si="6"/>
        <v>3467.5879265729309</v>
      </c>
      <c r="H20" s="17">
        <v>6713</v>
      </c>
      <c r="I20" s="104">
        <f t="shared" si="7"/>
        <v>5292.7700534759351</v>
      </c>
      <c r="J20" s="104">
        <v>383124.63030838163</v>
      </c>
      <c r="K20" s="17">
        <v>1783</v>
      </c>
      <c r="L20" s="104">
        <f t="shared" si="8"/>
        <v>13472.693332151326</v>
      </c>
      <c r="M20" s="104">
        <f t="shared" si="8"/>
        <v>25350.570214220959</v>
      </c>
      <c r="N20" s="104">
        <f t="shared" si="8"/>
        <v>16887.188368626128</v>
      </c>
      <c r="O20" s="17">
        <f t="shared" si="2"/>
        <v>504566.70699211356</v>
      </c>
      <c r="P20" s="83">
        <f t="shared" si="5"/>
        <v>0.75931413032047301</v>
      </c>
      <c r="Q20" s="19">
        <f t="shared" si="4"/>
        <v>5.221282943809058E-2</v>
      </c>
      <c r="R20" s="19">
        <f t="shared" si="4"/>
        <v>1.3902681231380276E-2</v>
      </c>
      <c r="S20" s="105">
        <v>0.08</v>
      </c>
      <c r="T20" s="19">
        <f t="shared" si="4"/>
        <v>4.1489361702127692E-2</v>
      </c>
      <c r="U20" s="105">
        <v>0.05</v>
      </c>
      <c r="V20" s="19">
        <f t="shared" si="4"/>
        <v>4.0130151843817741E-2</v>
      </c>
      <c r="W20" s="105">
        <v>3.2833690221270473E-2</v>
      </c>
      <c r="X20" s="19">
        <f t="shared" si="4"/>
        <v>2.3735523842024042E-2</v>
      </c>
      <c r="Y20" s="19">
        <f t="shared" si="4"/>
        <v>1.3068181818181923E-2</v>
      </c>
      <c r="Z20" s="105">
        <v>0.08</v>
      </c>
      <c r="AA20" s="105">
        <v>0.05</v>
      </c>
      <c r="AB20" s="105">
        <v>0.04</v>
      </c>
      <c r="AC20" s="19">
        <f t="shared" si="4"/>
        <v>3.0884672642598643E-2</v>
      </c>
    </row>
    <row r="21" spans="1:29" x14ac:dyDescent="0.25">
      <c r="B21">
        <v>2024</v>
      </c>
      <c r="C21" s="17">
        <v>15568</v>
      </c>
      <c r="D21" s="17">
        <v>7243</v>
      </c>
      <c r="E21" s="104">
        <f t="shared" si="6"/>
        <v>27580.248131779423</v>
      </c>
      <c r="F21" s="17">
        <v>1020</v>
      </c>
      <c r="G21" s="104">
        <f t="shared" si="6"/>
        <v>3640.9673229015775</v>
      </c>
      <c r="H21" s="17">
        <v>6982</v>
      </c>
      <c r="I21" s="104">
        <f t="shared" si="7"/>
        <v>5468.3422459893036</v>
      </c>
      <c r="J21" s="104">
        <v>392092.47306397732</v>
      </c>
      <c r="K21" s="17">
        <v>1805</v>
      </c>
      <c r="L21" s="104">
        <f t="shared" si="8"/>
        <v>14550.508798723433</v>
      </c>
      <c r="M21" s="104">
        <f t="shared" si="8"/>
        <v>26618.09872493201</v>
      </c>
      <c r="N21" s="104">
        <f t="shared" si="8"/>
        <v>17562.675903371175</v>
      </c>
      <c r="O21" s="17">
        <f t="shared" si="2"/>
        <v>520131.31419167429</v>
      </c>
      <c r="P21" s="83">
        <f t="shared" si="5"/>
        <v>0.75383362309827551</v>
      </c>
      <c r="Q21" s="19">
        <f t="shared" si="4"/>
        <v>5.1039697542533125E-2</v>
      </c>
      <c r="R21" s="19">
        <f t="shared" si="4"/>
        <v>1.3432209318595234E-2</v>
      </c>
      <c r="S21" s="105">
        <v>0.08</v>
      </c>
      <c r="T21" s="19">
        <f t="shared" si="4"/>
        <v>4.1879468845760881E-2</v>
      </c>
      <c r="U21" s="105">
        <v>0.05</v>
      </c>
      <c r="V21" s="19">
        <f t="shared" si="4"/>
        <v>4.0071503053776159E-2</v>
      </c>
      <c r="W21" s="105">
        <v>3.3172080165860374E-2</v>
      </c>
      <c r="X21" s="19">
        <f t="shared" si="4"/>
        <v>2.3407116238852499E-2</v>
      </c>
      <c r="Y21" s="19">
        <f t="shared" si="4"/>
        <v>1.2338754907459393E-2</v>
      </c>
      <c r="Z21" s="105">
        <v>0.08</v>
      </c>
      <c r="AA21" s="105">
        <v>0.05</v>
      </c>
      <c r="AB21" s="105">
        <v>0.04</v>
      </c>
      <c r="AC21" s="19">
        <f t="shared" si="4"/>
        <v>3.0847471669992688E-2</v>
      </c>
    </row>
    <row r="22" spans="1:29" x14ac:dyDescent="0.25">
      <c r="B22">
        <v>2025</v>
      </c>
      <c r="C22" s="17">
        <v>16345</v>
      </c>
      <c r="D22" s="17">
        <v>7336</v>
      </c>
      <c r="E22" s="104">
        <f t="shared" si="6"/>
        <v>29510.865501003984</v>
      </c>
      <c r="F22" s="17">
        <v>1063</v>
      </c>
      <c r="G22" s="104">
        <f t="shared" si="6"/>
        <v>3823.0156890466565</v>
      </c>
      <c r="H22" s="17">
        <v>7262</v>
      </c>
      <c r="I22" s="104">
        <f t="shared" si="7"/>
        <v>5643.9144385026721</v>
      </c>
      <c r="J22" s="104">
        <v>403572.83210354095</v>
      </c>
      <c r="K22" s="17">
        <v>1828</v>
      </c>
      <c r="L22" s="104">
        <f t="shared" si="8"/>
        <v>15714.549502621308</v>
      </c>
      <c r="M22" s="104">
        <f t="shared" si="8"/>
        <v>27949.003661178613</v>
      </c>
      <c r="N22" s="104">
        <f t="shared" si="8"/>
        <v>18265.182939506023</v>
      </c>
      <c r="O22" s="17">
        <f t="shared" si="2"/>
        <v>538313.3638354002</v>
      </c>
      <c r="P22" s="83">
        <f t="shared" si="5"/>
        <v>0.74969870565379682</v>
      </c>
      <c r="Q22" s="19">
        <f t="shared" si="4"/>
        <v>4.9910071942446121E-2</v>
      </c>
      <c r="R22" s="19">
        <f t="shared" si="4"/>
        <v>1.2839983432279434E-2</v>
      </c>
      <c r="S22" s="105">
        <v>7.0000000000000007E-2</v>
      </c>
      <c r="T22" s="19">
        <f t="shared" si="4"/>
        <v>4.2156862745098111E-2</v>
      </c>
      <c r="U22" s="105">
        <v>0.05</v>
      </c>
      <c r="V22" s="19">
        <f t="shared" si="4"/>
        <v>4.0103122314522954E-2</v>
      </c>
      <c r="W22" s="105">
        <v>3.2107023411371172E-2</v>
      </c>
      <c r="X22" s="19">
        <f>X21</f>
        <v>2.3407116238852499E-2</v>
      </c>
      <c r="Y22" s="19">
        <f t="shared" si="4"/>
        <v>1.2742382271468067E-2</v>
      </c>
      <c r="Z22" s="105">
        <v>0.08</v>
      </c>
      <c r="AA22" s="105">
        <v>0.05</v>
      </c>
      <c r="AB22" s="105">
        <v>0.04</v>
      </c>
      <c r="AC22" s="19">
        <f t="shared" si="4"/>
        <v>3.4956652575287128E-2</v>
      </c>
    </row>
    <row r="23" spans="1:29" x14ac:dyDescent="0.25">
      <c r="B23">
        <v>2026</v>
      </c>
      <c r="C23" s="17">
        <f>C22*(1+Q23)</f>
        <v>17056.096461184577</v>
      </c>
      <c r="D23" s="17">
        <f t="shared" ref="D23:N28" si="9">D22*(1+R23)</f>
        <v>7430.1941184592015</v>
      </c>
      <c r="E23" s="104">
        <f t="shared" si="6"/>
        <v>31281.517431064225</v>
      </c>
      <c r="F23" s="17">
        <f t="shared" si="9"/>
        <v>1106.6475966766186</v>
      </c>
      <c r="G23" s="104">
        <f t="shared" si="6"/>
        <v>4014.1664734989895</v>
      </c>
      <c r="H23" s="17">
        <f t="shared" si="9"/>
        <v>7553.2288742480659</v>
      </c>
      <c r="I23" s="104">
        <f t="shared" si="7"/>
        <v>5842.6563862036146</v>
      </c>
      <c r="J23" s="104">
        <f t="shared" si="9"/>
        <v>415096.79325928353</v>
      </c>
      <c r="K23" s="17">
        <f t="shared" si="9"/>
        <v>1851.2930747922437</v>
      </c>
      <c r="L23" s="104">
        <f t="shared" si="8"/>
        <v>16971.713462831016</v>
      </c>
      <c r="M23" s="104">
        <f t="shared" si="8"/>
        <v>29346.453844237545</v>
      </c>
      <c r="N23" s="104">
        <f t="shared" si="8"/>
        <v>18995.790257086264</v>
      </c>
      <c r="O23" s="17">
        <f t="shared" si="2"/>
        <v>556546.55123956583</v>
      </c>
      <c r="P23" s="83">
        <f t="shared" si="5"/>
        <v>0.74584379749503615</v>
      </c>
      <c r="Q23" s="19">
        <f t="shared" ref="Q23:T23" si="10">FORECAST($B23,Q14:Q18,$B14:$B18)</f>
        <v>4.3505442715483511E-2</v>
      </c>
      <c r="R23" s="19">
        <f>R22</f>
        <v>1.2839983432279434E-2</v>
      </c>
      <c r="S23" s="105">
        <v>0.06</v>
      </c>
      <c r="T23" s="19">
        <f t="shared" si="10"/>
        <v>4.1060768275276188E-2</v>
      </c>
      <c r="U23" s="105">
        <v>0.05</v>
      </c>
      <c r="V23" s="19">
        <f>V22</f>
        <v>4.0103122314522954E-2</v>
      </c>
      <c r="W23" s="105">
        <v>3.5213494085794328E-2</v>
      </c>
      <c r="X23" s="19">
        <f t="shared" ref="X23:X26" si="11">X18</f>
        <v>2.8554848689086088E-2</v>
      </c>
      <c r="Y23" s="19">
        <f>Y22</f>
        <v>1.2742382271468067E-2</v>
      </c>
      <c r="Z23" s="105">
        <v>0.08</v>
      </c>
      <c r="AA23" s="105">
        <v>0.05</v>
      </c>
      <c r="AB23" s="105">
        <v>0.04</v>
      </c>
      <c r="AC23" s="19">
        <f t="shared" ref="AC23:AC26" si="12">((O23/O18)^0.2)-1</f>
        <v>3.2428642095635229E-2</v>
      </c>
    </row>
    <row r="24" spans="1:29" x14ac:dyDescent="0.25">
      <c r="B24">
        <v>2027</v>
      </c>
      <c r="C24" s="17">
        <f t="shared" ref="C24:C26" si="13">C23*(1+Q24)</f>
        <v>17751.863203286761</v>
      </c>
      <c r="D24" s="17">
        <f t="shared" si="9"/>
        <v>7525.5976878388374</v>
      </c>
      <c r="E24" s="104">
        <f t="shared" si="9"/>
        <v>33158.408476928082</v>
      </c>
      <c r="F24" s="17">
        <f t="shared" si="9"/>
        <v>1154.4418547045989</v>
      </c>
      <c r="G24" s="104">
        <f t="shared" si="9"/>
        <v>4214.8747971739394</v>
      </c>
      <c r="H24" s="17">
        <f t="shared" si="9"/>
        <v>7855.6271564666486</v>
      </c>
      <c r="I24" s="104">
        <f t="shared" si="9"/>
        <v>6029.9207177656708</v>
      </c>
      <c r="J24" s="104">
        <f t="shared" si="9"/>
        <v>425568.67545045202</v>
      </c>
      <c r="K24" s="17">
        <f t="shared" si="9"/>
        <v>1874.8829588477679</v>
      </c>
      <c r="L24" s="104">
        <f t="shared" si="9"/>
        <v>18329.450539857498</v>
      </c>
      <c r="M24" s="104">
        <f t="shared" si="9"/>
        <v>30813.776536449423</v>
      </c>
      <c r="N24" s="104">
        <f t="shared" si="9"/>
        <v>19755.621867369715</v>
      </c>
      <c r="O24" s="17">
        <f t="shared" si="2"/>
        <v>574033.14124714106</v>
      </c>
      <c r="P24" s="83">
        <f t="shared" si="5"/>
        <v>0.74136603772713194</v>
      </c>
      <c r="Q24" s="19">
        <f t="shared" ref="Q24:V24" si="14">FORECAST($B24,Q15:Q19,$B15:$B19)</f>
        <v>4.0792847512651775E-2</v>
      </c>
      <c r="R24" s="19">
        <f>R23</f>
        <v>1.2839983432279434E-2</v>
      </c>
      <c r="S24" s="105">
        <v>0.06</v>
      </c>
      <c r="T24" s="19">
        <f t="shared" si="14"/>
        <v>4.318832677314044E-2</v>
      </c>
      <c r="U24" s="105">
        <v>0.05</v>
      </c>
      <c r="V24" s="19">
        <f t="shared" si="14"/>
        <v>4.0035630755156551E-2</v>
      </c>
      <c r="W24" s="105">
        <v>3.2051231355013088E-2</v>
      </c>
      <c r="X24" s="19">
        <f t="shared" si="11"/>
        <v>2.5227567066815171E-2</v>
      </c>
      <c r="Y24" s="19">
        <f t="shared" ref="Y24:Y26" si="15">Y23</f>
        <v>1.2742382271468067E-2</v>
      </c>
      <c r="Z24" s="105">
        <v>0.08</v>
      </c>
      <c r="AA24" s="105">
        <v>0.05</v>
      </c>
      <c r="AB24" s="105">
        <v>0.04</v>
      </c>
      <c r="AC24" s="19">
        <f t="shared" si="12"/>
        <v>3.2394522462664721E-2</v>
      </c>
    </row>
    <row r="25" spans="1:29" x14ac:dyDescent="0.25">
      <c r="B25">
        <v>2028</v>
      </c>
      <c r="C25" s="17">
        <f t="shared" si="13"/>
        <v>18485.577670431001</v>
      </c>
      <c r="D25" s="17">
        <f t="shared" si="9"/>
        <v>7622.2262374686889</v>
      </c>
      <c r="E25" s="104">
        <f t="shared" si="9"/>
        <v>35147.912985543771</v>
      </c>
      <c r="F25" s="17">
        <f t="shared" si="9"/>
        <v>1204.3002667661713</v>
      </c>
      <c r="G25" s="104">
        <f t="shared" si="9"/>
        <v>4425.6185370326366</v>
      </c>
      <c r="H25" s="17">
        <f t="shared" si="9"/>
        <v>8171.4272718527818</v>
      </c>
      <c r="I25" s="104">
        <f t="shared" si="9"/>
        <v>6220.373960102309</v>
      </c>
      <c r="J25" s="104">
        <f t="shared" si="9"/>
        <v>435669.7708930248</v>
      </c>
      <c r="K25" s="17">
        <f t="shared" si="9"/>
        <v>1898.7734342236672</v>
      </c>
      <c r="L25" s="104">
        <f t="shared" si="9"/>
        <v>19795.806583046098</v>
      </c>
      <c r="M25" s="104">
        <f t="shared" si="9"/>
        <v>32354.465363271895</v>
      </c>
      <c r="N25" s="104">
        <f t="shared" si="9"/>
        <v>20545.846742064503</v>
      </c>
      <c r="O25" s="17">
        <f t="shared" si="2"/>
        <v>591542.09994482819</v>
      </c>
      <c r="P25" s="83">
        <f t="shared" si="5"/>
        <v>0.73649833364972461</v>
      </c>
      <c r="Q25" s="19">
        <f t="shared" ref="Q25:V25" si="16">FORECAST($B25,Q16:Q20,$B16:$B20)</f>
        <v>4.1331687763817015E-2</v>
      </c>
      <c r="R25" s="19">
        <f>R24</f>
        <v>1.2839983432279434E-2</v>
      </c>
      <c r="S25" s="105">
        <v>0.06</v>
      </c>
      <c r="T25" s="19">
        <f>T24</f>
        <v>4.318832677314044E-2</v>
      </c>
      <c r="U25" s="105">
        <v>0.05</v>
      </c>
      <c r="V25" s="19">
        <f t="shared" si="16"/>
        <v>4.0200496929919873E-2</v>
      </c>
      <c r="W25" s="105">
        <v>3.1584700902536678E-2</v>
      </c>
      <c r="X25" s="19">
        <f t="shared" si="11"/>
        <v>2.3735523842024042E-2</v>
      </c>
      <c r="Y25" s="19">
        <f t="shared" si="15"/>
        <v>1.2742382271468067E-2</v>
      </c>
      <c r="Z25" s="105">
        <v>0.08</v>
      </c>
      <c r="AA25" s="105">
        <v>0.05</v>
      </c>
      <c r="AB25" s="105">
        <v>0.04</v>
      </c>
      <c r="AC25" s="19">
        <f t="shared" si="12"/>
        <v>3.2317794590370319E-2</v>
      </c>
    </row>
    <row r="26" spans="1:29" x14ac:dyDescent="0.25">
      <c r="B26">
        <v>2029</v>
      </c>
      <c r="C26" s="17">
        <f t="shared" si="13"/>
        <v>19327.573705860614</v>
      </c>
      <c r="D26" s="17">
        <f t="shared" si="9"/>
        <v>7706.0883030138757</v>
      </c>
      <c r="E26" s="104">
        <f t="shared" si="9"/>
        <v>37256.787764676403</v>
      </c>
      <c r="F26" s="17">
        <f t="shared" si="9"/>
        <v>1256.0245000113284</v>
      </c>
      <c r="G26" s="104">
        <f t="shared" si="9"/>
        <v>4646.8994638842687</v>
      </c>
      <c r="H26" s="17">
        <f t="shared" si="9"/>
        <v>8499.1832313438481</v>
      </c>
      <c r="I26" s="104">
        <f t="shared" si="9"/>
        <v>6422.8326199102385</v>
      </c>
      <c r="J26" s="104">
        <f t="shared" si="9"/>
        <v>445867.54386207205</v>
      </c>
      <c r="K26" s="17">
        <f t="shared" si="9"/>
        <v>1922.9683311694534</v>
      </c>
      <c r="L26" s="104">
        <f t="shared" si="9"/>
        <v>21379.471109689788</v>
      </c>
      <c r="M26" s="104">
        <f t="shared" si="9"/>
        <v>33972.188631435492</v>
      </c>
      <c r="N26" s="104">
        <f t="shared" si="9"/>
        <v>21367.680611747084</v>
      </c>
      <c r="O26" s="17">
        <f t="shared" si="2"/>
        <v>609625.2421348145</v>
      </c>
      <c r="P26" s="83">
        <f t="shared" si="5"/>
        <v>0.73137972814365759</v>
      </c>
      <c r="Q26" s="19">
        <f t="shared" ref="Q26:V26" si="17">FORECAST($B26,Q17:Q21,$B17:$B21)</f>
        <v>4.5548808397610774E-2</v>
      </c>
      <c r="R26" s="19">
        <f t="shared" si="17"/>
        <v>1.1002306010407414E-2</v>
      </c>
      <c r="S26" s="105">
        <v>0.06</v>
      </c>
      <c r="T26" s="19">
        <f t="shared" si="17"/>
        <v>4.2949615367975313E-2</v>
      </c>
      <c r="U26" s="105">
        <v>0.05</v>
      </c>
      <c r="V26" s="19">
        <f t="shared" si="17"/>
        <v>4.0110001421667339E-2</v>
      </c>
      <c r="W26" s="105">
        <v>3.2547666925896362E-2</v>
      </c>
      <c r="X26" s="19">
        <f t="shared" si="11"/>
        <v>2.3407116238852499E-2</v>
      </c>
      <c r="Y26" s="19">
        <f t="shared" si="15"/>
        <v>1.2742382271468067E-2</v>
      </c>
      <c r="Z26" s="105">
        <v>0.08</v>
      </c>
      <c r="AA26" s="105">
        <v>0.05</v>
      </c>
      <c r="AB26" s="105">
        <v>0.04</v>
      </c>
      <c r="AC26" s="19">
        <f t="shared" si="12"/>
        <v>3.2262113588580776E-2</v>
      </c>
    </row>
    <row r="27" spans="1:29" x14ac:dyDescent="0.25">
      <c r="B27">
        <v>2030</v>
      </c>
      <c r="C27" s="17">
        <f>C22*(1+Q27)^($B27-$B22)</f>
        <v>20293.684357739003</v>
      </c>
      <c r="D27" s="17">
        <f t="shared" ref="D27:J28" si="18">D22*(1+R27)^($B27-$B22)</f>
        <v>7730.063709803957</v>
      </c>
      <c r="E27" s="104">
        <f t="shared" si="18"/>
        <v>39492.195030556984</v>
      </c>
      <c r="F27" s="17">
        <f t="shared" si="18"/>
        <v>1308.8683758743434</v>
      </c>
      <c r="G27" s="104">
        <f t="shared" si="18"/>
        <v>4879.2444370784815</v>
      </c>
      <c r="H27" s="17">
        <f t="shared" si="18"/>
        <v>8840.3683008149055</v>
      </c>
      <c r="I27" s="104">
        <f t="shared" si="18"/>
        <v>6607.8154802101435</v>
      </c>
      <c r="J27" s="104">
        <f t="shared" si="18"/>
        <v>453068.72588803817</v>
      </c>
      <c r="K27" s="17">
        <f>K22*(1+Y27)^($B27-$B22)</f>
        <v>1951.7132884300056</v>
      </c>
      <c r="L27" s="104">
        <f t="shared" ref="L27:M27" si="19">L22*(1+Z27)^($B27-$B22)</f>
        <v>23089.828798464969</v>
      </c>
      <c r="M27" s="104">
        <f t="shared" si="19"/>
        <v>35670.798063007263</v>
      </c>
      <c r="N27" s="104">
        <f t="shared" si="9"/>
        <v>22222.387836216967</v>
      </c>
      <c r="O27" s="17">
        <f t="shared" si="2"/>
        <v>625155.69356623525</v>
      </c>
      <c r="P27" s="83">
        <f>J27/O27</f>
        <v>0.72472942428706444</v>
      </c>
      <c r="Q27" s="19">
        <f>FORECAST($B27,Q18:Q22,$B18:$B22)</f>
        <v>4.4227665842206498E-2</v>
      </c>
      <c r="R27" s="19">
        <f>FORECAST($B27,R18:R22,$B18:$B22)</f>
        <v>1.0519620097429683E-2</v>
      </c>
      <c r="S27" s="105">
        <v>0.06</v>
      </c>
      <c r="T27" s="19">
        <f t="shared" ref="T27:V28" si="20">FORECAST($B27,T18:T22,$B18:$B22)</f>
        <v>4.2491546582769268E-2</v>
      </c>
      <c r="U27" s="105">
        <v>0.05</v>
      </c>
      <c r="V27" s="19">
        <f t="shared" si="20"/>
        <v>4.0118504353401807E-2</v>
      </c>
      <c r="W27" s="105">
        <v>3.2037545397336387E-2</v>
      </c>
      <c r="X27" s="19">
        <f>X22</f>
        <v>2.3407116238852499E-2</v>
      </c>
      <c r="Y27" s="19">
        <f>FORECAST($B27,Y18:Y22,$B18:$B22)</f>
        <v>1.3183166331829199E-2</v>
      </c>
      <c r="Z27" s="105">
        <v>0.08</v>
      </c>
      <c r="AA27" s="105">
        <v>0.05</v>
      </c>
      <c r="AB27" s="105">
        <v>0.04</v>
      </c>
      <c r="AC27" s="19">
        <f>((O27/O22)^0.2)-1</f>
        <v>3.0363832630702969E-2</v>
      </c>
    </row>
    <row r="28" spans="1:29" x14ac:dyDescent="0.25">
      <c r="B28">
        <v>2031</v>
      </c>
      <c r="C28" s="17">
        <f>C23*(1+Q28)^($B28-$B23)</f>
        <v>20218.817942841975</v>
      </c>
      <c r="D28" s="17">
        <f t="shared" ref="D28" si="21">D23*(1+R28)^($B28-$B23)</f>
        <v>7831.1295154187255</v>
      </c>
      <c r="E28" s="104">
        <f t="shared" si="18"/>
        <v>41861.726732390409</v>
      </c>
      <c r="F28" s="17">
        <f t="shared" ref="F28" si="22">F23*(1+T28)^($B28-$B23)</f>
        <v>1351.0425635415791</v>
      </c>
      <c r="G28" s="104">
        <f t="shared" si="18"/>
        <v>5123.2066589324058</v>
      </c>
      <c r="H28" s="17">
        <f t="shared" ref="H28" si="23">H23*(1+V28)^($B28-$B23)</f>
        <v>9191.9694642003287</v>
      </c>
      <c r="I28" s="104">
        <f t="shared" si="18"/>
        <v>6970.7167057262377</v>
      </c>
      <c r="J28" s="104">
        <f t="shared" ref="J28" si="24">J23*(1+X28)^($B28-$B23)</f>
        <v>477844.5724318166</v>
      </c>
      <c r="K28" s="17">
        <f>K23*(1+Y28)^($B28-$B23)</f>
        <v>2005.0572679863646</v>
      </c>
      <c r="L28" s="104">
        <f t="shared" ref="L28:M28" si="25">L23*(1+Z28)^($B28-$B23)</f>
        <v>24937.015102342171</v>
      </c>
      <c r="M28" s="104">
        <f t="shared" si="25"/>
        <v>37454.337966157633</v>
      </c>
      <c r="N28" s="104">
        <f t="shared" si="9"/>
        <v>23111.283349665646</v>
      </c>
      <c r="O28" s="17">
        <f t="shared" ref="O28" si="26">SUM(C28:N28)</f>
        <v>657900.87570102001</v>
      </c>
      <c r="P28" s="17"/>
      <c r="Q28" s="19">
        <f>FORECAST($B28,Q19:Q23,$B19:$B23)</f>
        <v>3.4606550202100905E-2</v>
      </c>
      <c r="R28" s="19">
        <f>FORECAST($B28,R19:R23,$B19:$B23)</f>
        <v>1.0566388077396183E-2</v>
      </c>
      <c r="S28" s="105">
        <v>0.06</v>
      </c>
      <c r="T28" s="19">
        <f t="shared" si="20"/>
        <v>4.0715294904062949E-2</v>
      </c>
      <c r="U28" s="105">
        <v>0.05</v>
      </c>
      <c r="V28" s="19">
        <f t="shared" si="20"/>
        <v>4.0052316534783208E-2</v>
      </c>
      <c r="W28" s="105">
        <v>3.5937173363170261E-2</v>
      </c>
      <c r="X28" s="19">
        <f>X23</f>
        <v>2.8554848689086088E-2</v>
      </c>
      <c r="Y28" s="19">
        <f>FORECAST($B28,Y19:Y23,$B19:$B23)</f>
        <v>1.6085657059160541E-2</v>
      </c>
      <c r="Z28" s="105">
        <v>0.08</v>
      </c>
      <c r="AA28" s="105">
        <v>0.05</v>
      </c>
      <c r="AB28" s="105">
        <v>0.04</v>
      </c>
      <c r="AC28" s="19">
        <f>((O28/O23)^0.2)-1</f>
        <v>3.402679696832811E-2</v>
      </c>
    </row>
    <row r="29" spans="1:29" x14ac:dyDescent="0.25">
      <c r="B29">
        <v>2040</v>
      </c>
      <c r="C29" s="17">
        <f t="shared" ref="C29:N29" si="27">C27*(1+Q29)^($B29-$B27)</f>
        <v>26499.630588898654</v>
      </c>
      <c r="D29" s="17">
        <f t="shared" si="27"/>
        <v>8273.2903503265316</v>
      </c>
      <c r="E29" s="104">
        <f t="shared" si="27"/>
        <v>53167.970135884098</v>
      </c>
      <c r="F29" s="17">
        <f t="shared" si="27"/>
        <v>2022.808493871403</v>
      </c>
      <c r="G29" s="104">
        <f t="shared" si="27"/>
        <v>7947.7750462908607</v>
      </c>
      <c r="H29" s="17">
        <f t="shared" si="27"/>
        <v>13102.509104016046</v>
      </c>
      <c r="I29" s="104">
        <f t="shared" si="27"/>
        <v>8960.9609694410537</v>
      </c>
      <c r="J29" s="104">
        <f t="shared" si="27"/>
        <v>569336.4455375598</v>
      </c>
      <c r="K29" s="17">
        <f t="shared" si="27"/>
        <v>2278.7395078548357</v>
      </c>
      <c r="L29" s="104">
        <f t="shared" si="27"/>
        <v>37610.898063030618</v>
      </c>
      <c r="M29" s="104">
        <f t="shared" si="27"/>
        <v>58103.971297695702</v>
      </c>
      <c r="N29" s="104">
        <f t="shared" si="27"/>
        <v>32894.562591799106</v>
      </c>
      <c r="O29" s="17">
        <f t="shared" si="2"/>
        <v>820199.56168666866</v>
      </c>
      <c r="Q29" s="19">
        <f>FORECAST($B29,Q19:Q27,$B19:$B27)</f>
        <v>2.704126169693799E-2</v>
      </c>
      <c r="R29" s="19">
        <f>FORECAST($B29,R19:R27,$B19:$B27)</f>
        <v>6.8146337915712119E-3</v>
      </c>
      <c r="S29" s="19">
        <f>FORECAST($B29,S19:S28,$B19:$B28)</f>
        <v>3.0181818181818088E-2</v>
      </c>
      <c r="T29" s="19">
        <f t="shared" ref="T29:Y29" si="28">FORECAST($B29,T19:T27,$B19:$B27)</f>
        <v>4.4493831248677507E-2</v>
      </c>
      <c r="U29" s="19">
        <f t="shared" si="28"/>
        <v>4.9999999999999996E-2</v>
      </c>
      <c r="V29" s="19">
        <f t="shared" si="28"/>
        <v>4.0131888289110608E-2</v>
      </c>
      <c r="W29" s="19">
        <f t="shared" si="28"/>
        <v>3.0931163439462395E-2</v>
      </c>
      <c r="X29" s="19">
        <f t="shared" si="28"/>
        <v>2.3105666586594409E-2</v>
      </c>
      <c r="Y29" s="19">
        <f t="shared" si="28"/>
        <v>1.5612099717029759E-2</v>
      </c>
      <c r="Z29" s="19">
        <v>0.05</v>
      </c>
      <c r="AA29" s="19">
        <f>FORECAST($B29,AA19:AA27,$B19:$B27)</f>
        <v>4.9999999999999996E-2</v>
      </c>
      <c r="AB29" s="19">
        <f>FORECAST($B29,AB19:AB27,$B19:$B27)</f>
        <v>0.04</v>
      </c>
      <c r="AC29" s="19">
        <f>((O29/O27)^0.1)-1</f>
        <v>2.7526743733491621E-2</v>
      </c>
    </row>
    <row r="30" spans="1:29" x14ac:dyDescent="0.25">
      <c r="B30">
        <v>2050</v>
      </c>
      <c r="C30" s="17">
        <f t="shared" ref="C30" si="29">C29*(1+Q30)^($B30-$B29)</f>
        <v>29667.566537114169</v>
      </c>
      <c r="D30" s="17">
        <f t="shared" ref="D30" si="30">D29*(1+R30)^($B30-$B29)</f>
        <v>8486.462696058501</v>
      </c>
      <c r="E30" s="104">
        <f t="shared" ref="E30:G30" si="31">E29*(1+S30)^($B30-$B29)</f>
        <v>54951.608674523166</v>
      </c>
      <c r="F30" s="17">
        <f t="shared" ref="F30" si="32">F29*(1+T30)^($B30-$B29)</f>
        <v>3154.8709277213279</v>
      </c>
      <c r="G30" s="104">
        <f t="shared" si="31"/>
        <v>12946.088067739014</v>
      </c>
      <c r="H30" s="17">
        <f t="shared" ref="H30" si="33">H29*(1+V30)^($B30-$B29)</f>
        <v>19420.008440421359</v>
      </c>
      <c r="I30" s="104">
        <f t="shared" ref="I30" si="34">I29*(1+W30)^($B30-$B29)</f>
        <v>12153.306455368813</v>
      </c>
      <c r="J30" s="104">
        <f t="shared" ref="J30" si="35">J29*(1+X30)^($B30-$B29)</f>
        <v>722239.88509261794</v>
      </c>
      <c r="K30" s="17">
        <f t="shared" ref="K30" si="36">K29*(1+Y30)^($B30-$B29)</f>
        <v>2719.4038575732566</v>
      </c>
      <c r="L30" s="104">
        <f t="shared" ref="L30:M30" si="37">L29*(1+Z30)^($B30-$B29)</f>
        <v>56259.094250231246</v>
      </c>
      <c r="M30" s="104">
        <f t="shared" si="37"/>
        <v>94645.246641247213</v>
      </c>
      <c r="N30" s="104">
        <f t="shared" ref="N30" si="38">N29*(1+AB30)^($B30-$B29)</f>
        <v>48691.988281399397</v>
      </c>
      <c r="O30" s="17">
        <f t="shared" si="2"/>
        <v>1065335.5299220155</v>
      </c>
      <c r="Q30" s="19">
        <f>FORECAST($B30,Q20:Q29,$B20:$B29)</f>
        <v>1.135636144109764E-2</v>
      </c>
      <c r="R30" s="19">
        <f>FORECAST($B30,R20:R29,$B20:$B29)</f>
        <v>2.5472361274776478E-3</v>
      </c>
      <c r="S30" s="19">
        <f>FORECAST($B30,S20:S29,$B20:$B29)</f>
        <v>3.3051305130511466E-3</v>
      </c>
      <c r="T30" s="19">
        <f t="shared" ref="T30:AB30" si="39">FORECAST($B30,T20:T29,$B20:$B29)</f>
        <v>4.544859367548082E-2</v>
      </c>
      <c r="U30" s="19">
        <f t="shared" si="39"/>
        <v>4.9999999999999989E-2</v>
      </c>
      <c r="V30" s="19">
        <f t="shared" si="39"/>
        <v>4.0134482715082319E-2</v>
      </c>
      <c r="W30" s="19">
        <f t="shared" si="39"/>
        <v>3.0941414715408067E-2</v>
      </c>
      <c r="X30" s="19">
        <f t="shared" si="39"/>
        <v>2.4073783526283553E-2</v>
      </c>
      <c r="Y30" s="19">
        <f t="shared" si="39"/>
        <v>1.783622332145457E-2</v>
      </c>
      <c r="Z30" s="19">
        <f t="shared" si="39"/>
        <v>4.1089108910890904E-2</v>
      </c>
      <c r="AA30" s="19">
        <f t="shared" si="39"/>
        <v>4.9999999999999989E-2</v>
      </c>
      <c r="AB30" s="19">
        <f t="shared" si="39"/>
        <v>3.9999999999999994E-2</v>
      </c>
      <c r="AC30" s="19">
        <f>((O30/O29)^0.1)-1</f>
        <v>2.6494644431598546E-2</v>
      </c>
    </row>
    <row r="31" spans="1:29" x14ac:dyDescent="0.25">
      <c r="A31" t="s">
        <v>134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x14ac:dyDescent="0.25">
      <c r="A32" t="s">
        <v>10</v>
      </c>
      <c r="B32">
        <v>2030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>
        <v>325</v>
      </c>
      <c r="O32">
        <v>2900</v>
      </c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44" x14ac:dyDescent="0.25">
      <c r="A33" t="s">
        <v>1</v>
      </c>
      <c r="B33">
        <v>2030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>
        <f>N32*(8.76*0.76)</f>
        <v>2163.7199999999998</v>
      </c>
      <c r="O33">
        <f>O32*8.76</f>
        <v>25404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44" x14ac:dyDescent="0.25">
      <c r="A34" t="s">
        <v>135</v>
      </c>
      <c r="B34">
        <v>2030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83">
        <f>(N33/N7)^(1/(2030-2010))-1</f>
        <v>-7.4334972191627879E-2</v>
      </c>
      <c r="O34" s="17"/>
      <c r="Q34" s="19"/>
      <c r="R34" s="19"/>
      <c r="S34" s="19"/>
      <c r="T34" s="19"/>
      <c r="U34" s="19"/>
      <c r="V34" s="19"/>
      <c r="W34" s="19"/>
      <c r="X34" s="19"/>
      <c r="Y34" s="19">
        <v>0.09</v>
      </c>
      <c r="Z34" s="19">
        <v>0.11</v>
      </c>
      <c r="AA34" s="19">
        <v>0.1</v>
      </c>
      <c r="AB34" s="19">
        <v>0.1</v>
      </c>
      <c r="AC34" s="19">
        <v>0.08</v>
      </c>
      <c r="AD34" s="101">
        <v>0.11</v>
      </c>
      <c r="AE34" s="101">
        <v>0.08</v>
      </c>
      <c r="AF34" s="101">
        <v>7.0000000000000007E-2</v>
      </c>
      <c r="AG34" s="101">
        <v>7.0000000000000007E-2</v>
      </c>
      <c r="AH34" s="101">
        <v>7.0000000000000007E-2</v>
      </c>
      <c r="AI34" s="101">
        <v>7.0000000000000007E-2</v>
      </c>
      <c r="AJ34" s="101">
        <v>0.08</v>
      </c>
      <c r="AK34" s="101">
        <v>0.08</v>
      </c>
      <c r="AL34" s="101">
        <v>0.08</v>
      </c>
      <c r="AM34" s="101">
        <v>0.08</v>
      </c>
      <c r="AN34" s="101">
        <v>0.08</v>
      </c>
      <c r="AO34" s="101">
        <v>0.08</v>
      </c>
      <c r="AP34" s="101">
        <v>0.08</v>
      </c>
      <c r="AQ34" s="101">
        <v>0.08</v>
      </c>
      <c r="AR34">
        <v>8</v>
      </c>
    </row>
    <row r="35" spans="1:44" x14ac:dyDescent="0.2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44" x14ac:dyDescent="0.25">
      <c r="C36" s="17" t="str">
        <f>C2</f>
        <v>Angola</v>
      </c>
      <c r="D36" s="17" t="str">
        <f t="shared" ref="D36:O36" si="40">D2</f>
        <v>Botswana</v>
      </c>
      <c r="E36" s="17" t="str">
        <f t="shared" si="40"/>
        <v>Democratic Republic of Congo</v>
      </c>
      <c r="F36" s="17" t="str">
        <f t="shared" si="40"/>
        <v>Lesotho</v>
      </c>
      <c r="G36" s="17" t="str">
        <f t="shared" si="40"/>
        <v>Malawi</v>
      </c>
      <c r="H36" s="17" t="str">
        <f t="shared" si="40"/>
        <v>Mozambique</v>
      </c>
      <c r="I36" s="17" t="str">
        <f t="shared" si="40"/>
        <v>Namibia</v>
      </c>
      <c r="J36" s="17" t="str">
        <f t="shared" si="40"/>
        <v>South Africa</v>
      </c>
      <c r="K36" s="17" t="str">
        <f t="shared" si="40"/>
        <v>Swaziland</v>
      </c>
      <c r="L36" s="17" t="str">
        <f t="shared" si="40"/>
        <v>Tanzania</v>
      </c>
      <c r="M36" s="17" t="str">
        <f t="shared" si="40"/>
        <v>Zambia</v>
      </c>
      <c r="N36" s="17" t="str">
        <f t="shared" si="40"/>
        <v>Zimbabwe</v>
      </c>
      <c r="O36" s="17" t="str">
        <f t="shared" si="40"/>
        <v>Total</v>
      </c>
      <c r="P36" t="s">
        <v>125</v>
      </c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44" x14ac:dyDescent="0.25">
      <c r="B37">
        <v>2010</v>
      </c>
      <c r="C37" s="17">
        <f>C7/1000</f>
        <v>6.343</v>
      </c>
      <c r="D37" s="17">
        <f t="shared" ref="D37:N37" si="41">D7/1000</f>
        <v>4.202</v>
      </c>
      <c r="E37" s="17">
        <f t="shared" si="41"/>
        <v>9.39</v>
      </c>
      <c r="F37" s="17">
        <f t="shared" si="41"/>
        <v>0.57599999999999996</v>
      </c>
      <c r="G37" s="17">
        <f t="shared" si="41"/>
        <v>1.6</v>
      </c>
      <c r="H37" s="17">
        <f t="shared" si="41"/>
        <v>3.758</v>
      </c>
      <c r="I37" s="17">
        <f t="shared" si="41"/>
        <v>3.6480000000000001</v>
      </c>
      <c r="J37" s="17">
        <f t="shared" si="41"/>
        <v>258.87009788758155</v>
      </c>
      <c r="K37" s="17">
        <f t="shared" si="41"/>
        <v>1.262</v>
      </c>
      <c r="L37" s="17">
        <f t="shared" si="41"/>
        <v>4.82</v>
      </c>
      <c r="M37" s="17">
        <f t="shared" si="41"/>
        <v>13.509</v>
      </c>
      <c r="N37" s="17">
        <f t="shared" si="41"/>
        <v>10.142007721871803</v>
      </c>
      <c r="O37" s="17">
        <f>SUM(C37:N37)</f>
        <v>318.12010560945333</v>
      </c>
      <c r="P37" s="84">
        <v>254826.639</v>
      </c>
      <c r="Q37" s="29">
        <f>O37/P37*1000000</f>
        <v>1248.3785323929708</v>
      </c>
      <c r="R37" s="29">
        <f>J37/48*1000</f>
        <v>5393.127039324615</v>
      </c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1:44" x14ac:dyDescent="0.25">
      <c r="B38">
        <v>2020</v>
      </c>
      <c r="C38" s="17">
        <f>C17/1000</f>
        <v>12.673999999999999</v>
      </c>
      <c r="D38" s="17">
        <f t="shared" ref="D38:N38" si="42">D17/1000</f>
        <v>6.8479999999999999</v>
      </c>
      <c r="E38" s="17">
        <f t="shared" si="42"/>
        <v>20.272305724391483</v>
      </c>
      <c r="F38" s="17">
        <f t="shared" si="42"/>
        <v>0.86599999999999999</v>
      </c>
      <c r="G38" s="17">
        <f t="shared" si="42"/>
        <v>2.9954328271875008</v>
      </c>
      <c r="H38" s="17">
        <f t="shared" si="42"/>
        <v>5.9660000000000002</v>
      </c>
      <c r="I38" s="17">
        <f t="shared" si="42"/>
        <v>4.803850267379679</v>
      </c>
      <c r="J38" s="17">
        <f t="shared" si="42"/>
        <v>354.89883033482505</v>
      </c>
      <c r="K38" s="17">
        <f t="shared" si="42"/>
        <v>1.72</v>
      </c>
      <c r="L38" s="17">
        <f t="shared" si="42"/>
        <v>10.895900120786326</v>
      </c>
      <c r="M38" s="17">
        <f t="shared" si="42"/>
        <v>21.898775695256198</v>
      </c>
      <c r="N38" s="17">
        <f t="shared" si="42"/>
        <v>15.012648967898453</v>
      </c>
      <c r="O38" s="17">
        <f t="shared" ref="O38:O41" si="43">SUM(C38:N38)</f>
        <v>458.85174393772468</v>
      </c>
      <c r="P38" s="84">
        <v>314452.67400000006</v>
      </c>
      <c r="Q38" s="29">
        <f t="shared" ref="Q38:Q41" si="44">O38/P38*1000000</f>
        <v>1459.2076387867658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44" x14ac:dyDescent="0.25">
      <c r="B39">
        <v>2030</v>
      </c>
      <c r="C39" s="17">
        <f>C27/1000</f>
        <v>20.293684357739004</v>
      </c>
      <c r="D39" s="17">
        <f t="shared" ref="D39:N39" si="45">D27/1000</f>
        <v>7.7300637098039573</v>
      </c>
      <c r="E39" s="17">
        <f t="shared" si="45"/>
        <v>39.492195030556985</v>
      </c>
      <c r="F39" s="17">
        <f t="shared" si="45"/>
        <v>1.3088683758743433</v>
      </c>
      <c r="G39" s="17">
        <f t="shared" si="45"/>
        <v>4.8792444370784818</v>
      </c>
      <c r="H39" s="17">
        <f t="shared" si="45"/>
        <v>8.8403683008149052</v>
      </c>
      <c r="I39" s="17">
        <f t="shared" si="45"/>
        <v>6.6078154802101432</v>
      </c>
      <c r="J39" s="17">
        <f t="shared" si="45"/>
        <v>453.06872588803816</v>
      </c>
      <c r="K39" s="17">
        <f t="shared" si="45"/>
        <v>1.9517132884300057</v>
      </c>
      <c r="L39" s="17">
        <f t="shared" si="45"/>
        <v>23.089828798464968</v>
      </c>
      <c r="M39" s="17">
        <f t="shared" si="45"/>
        <v>35.670798063007261</v>
      </c>
      <c r="N39" s="17">
        <f t="shared" si="45"/>
        <v>22.222387836216967</v>
      </c>
      <c r="O39" s="17">
        <f t="shared" si="43"/>
        <v>625.15569356623519</v>
      </c>
      <c r="P39">
        <v>377140.80100000004</v>
      </c>
      <c r="Q39" s="29">
        <f t="shared" si="44"/>
        <v>1657.6188307088926</v>
      </c>
      <c r="R39" s="29">
        <f>J39/54*1000</f>
        <v>8390.1615905192248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44" x14ac:dyDescent="0.25">
      <c r="B40">
        <v>2040</v>
      </c>
      <c r="C40" s="17">
        <f>C29/1000</f>
        <v>26.499630588898654</v>
      </c>
      <c r="D40" s="17">
        <f t="shared" ref="D40:N40" si="46">D29/1000</f>
        <v>8.2732903503265316</v>
      </c>
      <c r="E40" s="17">
        <f t="shared" si="46"/>
        <v>53.167970135884097</v>
      </c>
      <c r="F40" s="17">
        <f t="shared" si="46"/>
        <v>2.0228084938714028</v>
      </c>
      <c r="G40" s="17">
        <f t="shared" si="46"/>
        <v>7.947775046290861</v>
      </c>
      <c r="H40" s="17">
        <f t="shared" si="46"/>
        <v>13.102509104016047</v>
      </c>
      <c r="I40" s="17">
        <f t="shared" si="46"/>
        <v>8.9609609694410537</v>
      </c>
      <c r="J40" s="17">
        <f t="shared" si="46"/>
        <v>569.33644553755983</v>
      </c>
      <c r="K40" s="17">
        <f t="shared" si="46"/>
        <v>2.2787395078548358</v>
      </c>
      <c r="L40" s="17">
        <f t="shared" si="46"/>
        <v>37.610898063030618</v>
      </c>
      <c r="M40" s="17">
        <f t="shared" si="46"/>
        <v>58.103971297695701</v>
      </c>
      <c r="N40" s="17">
        <f t="shared" si="46"/>
        <v>32.894562591799108</v>
      </c>
      <c r="O40" s="17">
        <f t="shared" si="43"/>
        <v>820.19956168666874</v>
      </c>
      <c r="P40">
        <v>439233.35200000001</v>
      </c>
      <c r="Q40" s="29">
        <f t="shared" si="44"/>
        <v>1867.343538353774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44" x14ac:dyDescent="0.25">
      <c r="B41">
        <v>2050</v>
      </c>
      <c r="C41" s="17">
        <f>C30/1000</f>
        <v>29.667566537114169</v>
      </c>
      <c r="D41" s="17">
        <f t="shared" ref="D41:N41" si="47">D30/1000</f>
        <v>8.486462696058501</v>
      </c>
      <c r="E41" s="17">
        <f t="shared" si="47"/>
        <v>54.951608674523165</v>
      </c>
      <c r="F41" s="17">
        <f t="shared" si="47"/>
        <v>3.154870927721328</v>
      </c>
      <c r="G41" s="17">
        <f t="shared" si="47"/>
        <v>12.946088067739014</v>
      </c>
      <c r="H41" s="17">
        <f t="shared" si="47"/>
        <v>19.420008440421359</v>
      </c>
      <c r="I41" s="17">
        <f t="shared" si="47"/>
        <v>12.153306455368813</v>
      </c>
      <c r="J41" s="17">
        <f t="shared" si="47"/>
        <v>722.2398850926179</v>
      </c>
      <c r="K41" s="17">
        <f t="shared" si="47"/>
        <v>2.7194038575732566</v>
      </c>
      <c r="L41" s="17">
        <f t="shared" si="47"/>
        <v>56.259094250231243</v>
      </c>
      <c r="M41" s="17">
        <f t="shared" si="47"/>
        <v>94.645246641247212</v>
      </c>
      <c r="N41" s="17">
        <f t="shared" si="47"/>
        <v>48.691988281399396</v>
      </c>
      <c r="O41" s="17">
        <f t="shared" si="43"/>
        <v>1065.3355299220154</v>
      </c>
      <c r="P41">
        <v>498475.58000000007</v>
      </c>
      <c r="Q41" s="29">
        <f t="shared" si="44"/>
        <v>2137.1870010603434</v>
      </c>
      <c r="R41" s="29">
        <f>J41/57*1000</f>
        <v>12670.875177063472</v>
      </c>
    </row>
    <row r="43" spans="1:44" x14ac:dyDescent="0.25">
      <c r="B43" t="s">
        <v>124</v>
      </c>
      <c r="C43">
        <f>RANK(C37,$C$37:$N$37,1)</f>
        <v>8</v>
      </c>
      <c r="D43">
        <f t="shared" ref="D43:N43" si="48">RANK(D37,$C$37:$N$37,1)</f>
        <v>6</v>
      </c>
      <c r="E43">
        <f t="shared" si="48"/>
        <v>9</v>
      </c>
      <c r="F43">
        <f t="shared" si="48"/>
        <v>1</v>
      </c>
      <c r="G43">
        <f t="shared" si="48"/>
        <v>3</v>
      </c>
      <c r="H43">
        <f t="shared" si="48"/>
        <v>5</v>
      </c>
      <c r="I43">
        <f t="shared" si="48"/>
        <v>4</v>
      </c>
      <c r="J43">
        <f t="shared" si="48"/>
        <v>12</v>
      </c>
      <c r="K43">
        <f t="shared" si="48"/>
        <v>2</v>
      </c>
      <c r="L43">
        <f t="shared" si="48"/>
        <v>7</v>
      </c>
      <c r="M43">
        <f t="shared" si="48"/>
        <v>11</v>
      </c>
      <c r="N43">
        <f t="shared" si="48"/>
        <v>10</v>
      </c>
    </row>
    <row r="44" spans="1:44" x14ac:dyDescent="0.25">
      <c r="C44">
        <v>1</v>
      </c>
      <c r="D44">
        <f>C44+1</f>
        <v>2</v>
      </c>
      <c r="E44">
        <f t="shared" ref="E44:N44" si="49">D44+1</f>
        <v>3</v>
      </c>
      <c r="F44">
        <f t="shared" si="49"/>
        <v>4</v>
      </c>
      <c r="G44">
        <f t="shared" si="49"/>
        <v>5</v>
      </c>
      <c r="H44">
        <f t="shared" si="49"/>
        <v>6</v>
      </c>
      <c r="I44">
        <f t="shared" si="49"/>
        <v>7</v>
      </c>
      <c r="J44">
        <f t="shared" si="49"/>
        <v>8</v>
      </c>
      <c r="K44">
        <f t="shared" si="49"/>
        <v>9</v>
      </c>
      <c r="L44">
        <f t="shared" si="49"/>
        <v>10</v>
      </c>
      <c r="M44">
        <f t="shared" si="49"/>
        <v>11</v>
      </c>
      <c r="N44">
        <f t="shared" si="49"/>
        <v>12</v>
      </c>
    </row>
    <row r="45" spans="1:44" x14ac:dyDescent="0.25">
      <c r="C45">
        <f>SUMIF($C$43:$N$43,C44,$C$44:$N$44)</f>
        <v>4</v>
      </c>
      <c r="D45">
        <f t="shared" ref="D45:N45" si="50">SUMIF($C$43:$N$43,D44,$C$44:$N$44)</f>
        <v>9</v>
      </c>
      <c r="E45">
        <f t="shared" si="50"/>
        <v>5</v>
      </c>
      <c r="F45">
        <f t="shared" si="50"/>
        <v>7</v>
      </c>
      <c r="G45">
        <f t="shared" si="50"/>
        <v>6</v>
      </c>
      <c r="H45">
        <f t="shared" si="50"/>
        <v>2</v>
      </c>
      <c r="I45">
        <f t="shared" si="50"/>
        <v>10</v>
      </c>
      <c r="J45">
        <f t="shared" si="50"/>
        <v>1</v>
      </c>
      <c r="K45">
        <f t="shared" si="50"/>
        <v>3</v>
      </c>
      <c r="L45">
        <f t="shared" si="50"/>
        <v>12</v>
      </c>
      <c r="M45">
        <f t="shared" si="50"/>
        <v>11</v>
      </c>
      <c r="N45">
        <f t="shared" si="50"/>
        <v>8</v>
      </c>
    </row>
    <row r="46" spans="1:44" x14ac:dyDescent="0.25">
      <c r="C46" s="82" t="str">
        <f ca="1">OFFSET($B36,0,C$45)</f>
        <v>Lesotho</v>
      </c>
      <c r="D46" s="82" t="str">
        <f t="shared" ref="D46:N46" ca="1" si="51">OFFSET($B36,0,D$45)</f>
        <v>Swaziland</v>
      </c>
      <c r="E46" s="82" t="str">
        <f t="shared" ca="1" si="51"/>
        <v>Malawi</v>
      </c>
      <c r="F46" s="82" t="str">
        <f t="shared" ca="1" si="51"/>
        <v>Namibia</v>
      </c>
      <c r="G46" s="82" t="str">
        <f t="shared" ca="1" si="51"/>
        <v>Mozambique</v>
      </c>
      <c r="H46" s="82" t="str">
        <f t="shared" ca="1" si="51"/>
        <v>Botswana</v>
      </c>
      <c r="I46" s="82" t="str">
        <f t="shared" ca="1" si="51"/>
        <v>Tanzania</v>
      </c>
      <c r="J46" s="82" t="str">
        <f t="shared" ca="1" si="51"/>
        <v>Angola</v>
      </c>
      <c r="K46" s="82" t="str">
        <f t="shared" ca="1" si="51"/>
        <v>Democratic Republic of Congo</v>
      </c>
      <c r="L46" s="82" t="str">
        <f t="shared" ca="1" si="51"/>
        <v>Zimbabwe</v>
      </c>
      <c r="M46" s="82" t="str">
        <f t="shared" ca="1" si="51"/>
        <v>Zambia</v>
      </c>
      <c r="N46" s="82" t="str">
        <f t="shared" ca="1" si="51"/>
        <v>South Africa</v>
      </c>
      <c r="P46" t="s">
        <v>132</v>
      </c>
      <c r="Q46" t="s">
        <v>133</v>
      </c>
      <c r="S46" t="s">
        <v>128</v>
      </c>
      <c r="T46" t="s">
        <v>127</v>
      </c>
      <c r="U46" t="s">
        <v>126</v>
      </c>
      <c r="W46" t="s">
        <v>129</v>
      </c>
      <c r="X46" t="s">
        <v>130</v>
      </c>
      <c r="Y46" t="s">
        <v>131</v>
      </c>
    </row>
    <row r="47" spans="1:44" x14ac:dyDescent="0.25">
      <c r="B47">
        <f>B37</f>
        <v>2010</v>
      </c>
      <c r="C47" s="82">
        <f t="shared" ref="C47:N47" ca="1" si="52">OFFSET($B37,0,C$45)</f>
        <v>0.57599999999999996</v>
      </c>
      <c r="D47" s="82">
        <f t="shared" ca="1" si="52"/>
        <v>1.262</v>
      </c>
      <c r="E47" s="82">
        <f t="shared" ca="1" si="52"/>
        <v>1.6</v>
      </c>
      <c r="F47" s="82">
        <f t="shared" ca="1" si="52"/>
        <v>3.6480000000000001</v>
      </c>
      <c r="G47" s="82">
        <f t="shared" ca="1" si="52"/>
        <v>3.758</v>
      </c>
      <c r="H47" s="82">
        <f t="shared" ca="1" si="52"/>
        <v>4.202</v>
      </c>
      <c r="I47" s="82">
        <f t="shared" ca="1" si="52"/>
        <v>4.82</v>
      </c>
      <c r="J47" s="82">
        <f t="shared" ca="1" si="52"/>
        <v>6.343</v>
      </c>
      <c r="K47" s="82">
        <f t="shared" ca="1" si="52"/>
        <v>9.39</v>
      </c>
      <c r="L47" s="82">
        <f t="shared" ca="1" si="52"/>
        <v>10.142007721871803</v>
      </c>
      <c r="M47" s="82">
        <f t="shared" ca="1" si="52"/>
        <v>13.509</v>
      </c>
      <c r="N47" s="82">
        <f t="shared" ca="1" si="52"/>
        <v>258.87009788758155</v>
      </c>
      <c r="O47" s="83">
        <f ca="1">N47/O37</f>
        <v>0.81374956603776794</v>
      </c>
      <c r="R47">
        <f>B47</f>
        <v>2010</v>
      </c>
      <c r="S47" s="82">
        <f ca="1">T47</f>
        <v>258.87009788758155</v>
      </c>
      <c r="T47" s="82">
        <f ca="1">N47</f>
        <v>258.87009788758155</v>
      </c>
      <c r="U47" s="82">
        <f ca="1">T47</f>
        <v>258.87009788758155</v>
      </c>
      <c r="V47">
        <f>R47</f>
        <v>2010</v>
      </c>
      <c r="W47" s="82">
        <f ca="1">X47*S47/T47</f>
        <v>318.12010560945333</v>
      </c>
      <c r="X47" s="17">
        <f>O37</f>
        <v>318.12010560945333</v>
      </c>
      <c r="Y47" s="82">
        <f ca="1">X47*U47/T47</f>
        <v>318.12010560945333</v>
      </c>
    </row>
    <row r="48" spans="1:44" x14ac:dyDescent="0.25">
      <c r="B48">
        <f t="shared" ref="B48:B51" si="53">B38</f>
        <v>2020</v>
      </c>
      <c r="C48" s="82">
        <f t="shared" ref="C48:N48" ca="1" si="54">OFFSET($B38,0,C$45)</f>
        <v>0.86599999999999999</v>
      </c>
      <c r="D48" s="82">
        <f t="shared" ca="1" si="54"/>
        <v>1.72</v>
      </c>
      <c r="E48" s="82">
        <f t="shared" ca="1" si="54"/>
        <v>2.9954328271875008</v>
      </c>
      <c r="F48" s="82">
        <f t="shared" ca="1" si="54"/>
        <v>4.803850267379679</v>
      </c>
      <c r="G48" s="82">
        <f t="shared" ca="1" si="54"/>
        <v>5.9660000000000002</v>
      </c>
      <c r="H48" s="82">
        <f t="shared" ca="1" si="54"/>
        <v>6.8479999999999999</v>
      </c>
      <c r="I48" s="82">
        <f t="shared" ca="1" si="54"/>
        <v>10.895900120786326</v>
      </c>
      <c r="J48" s="82">
        <f t="shared" ca="1" si="54"/>
        <v>12.673999999999999</v>
      </c>
      <c r="K48" s="82">
        <f t="shared" ca="1" si="54"/>
        <v>20.272305724391483</v>
      </c>
      <c r="L48" s="82">
        <f t="shared" ca="1" si="54"/>
        <v>15.012648967898453</v>
      </c>
      <c r="M48" s="82">
        <f t="shared" ca="1" si="54"/>
        <v>21.898775695256198</v>
      </c>
      <c r="N48" s="82">
        <f t="shared" ca="1" si="54"/>
        <v>354.89883033482505</v>
      </c>
      <c r="O48" s="83">
        <f t="shared" ref="O48:O51" ca="1" si="55">N48/O38</f>
        <v>0.77344988882289589</v>
      </c>
      <c r="P48" s="85">
        <v>1.0935146721295927</v>
      </c>
      <c r="Q48" s="85">
        <v>0.90760446897702918</v>
      </c>
      <c r="R48">
        <f t="shared" ref="R48:R51" si="56">B48</f>
        <v>2020</v>
      </c>
      <c r="S48" s="82">
        <f ca="1">P48*T48</f>
        <v>388.08707809276217</v>
      </c>
      <c r="T48" s="82">
        <f t="shared" ref="T48:T51" ca="1" si="57">N48</f>
        <v>354.89883033482505</v>
      </c>
      <c r="U48" s="82">
        <f ca="1">Q48*T48</f>
        <v>322.10776444660769</v>
      </c>
      <c r="V48">
        <f t="shared" ref="V48:V51" si="58">R48</f>
        <v>2020</v>
      </c>
      <c r="W48" s="82">
        <f t="shared" ref="W48:W51" ca="1" si="59">X48*S48/T48</f>
        <v>501.76111432815287</v>
      </c>
      <c r="X48" s="17">
        <f t="shared" ref="X48:X51" si="60">O38</f>
        <v>458.85174393772468</v>
      </c>
      <c r="Y48" s="82">
        <f t="shared" ref="Y48:Y51" ca="1" si="61">X48*U48/T48</f>
        <v>416.45589339578243</v>
      </c>
    </row>
    <row r="49" spans="2:28" x14ac:dyDescent="0.25">
      <c r="B49">
        <f t="shared" si="53"/>
        <v>2030</v>
      </c>
      <c r="C49" s="82">
        <f t="shared" ref="C49:N49" ca="1" si="62">OFFSET($B39,0,C$45)</f>
        <v>1.3088683758743433</v>
      </c>
      <c r="D49" s="82">
        <f t="shared" ca="1" si="62"/>
        <v>1.9517132884300057</v>
      </c>
      <c r="E49" s="82">
        <f t="shared" ca="1" si="62"/>
        <v>4.8792444370784818</v>
      </c>
      <c r="F49" s="82">
        <f t="shared" ca="1" si="62"/>
        <v>6.6078154802101432</v>
      </c>
      <c r="G49" s="82">
        <f t="shared" ca="1" si="62"/>
        <v>8.8403683008149052</v>
      </c>
      <c r="H49" s="82">
        <f t="shared" ca="1" si="62"/>
        <v>7.7300637098039573</v>
      </c>
      <c r="I49" s="82">
        <f t="shared" ca="1" si="62"/>
        <v>23.089828798464968</v>
      </c>
      <c r="J49" s="82">
        <f t="shared" ca="1" si="62"/>
        <v>20.293684357739004</v>
      </c>
      <c r="K49" s="82">
        <f t="shared" ca="1" si="62"/>
        <v>39.492195030556985</v>
      </c>
      <c r="L49" s="82">
        <f t="shared" ca="1" si="62"/>
        <v>22.222387836216967</v>
      </c>
      <c r="M49" s="82">
        <f t="shared" ca="1" si="62"/>
        <v>35.670798063007261</v>
      </c>
      <c r="N49" s="82">
        <f t="shared" ca="1" si="62"/>
        <v>453.06872588803816</v>
      </c>
      <c r="O49" s="83">
        <f t="shared" ca="1" si="55"/>
        <v>0.72472942428706455</v>
      </c>
      <c r="P49" s="85">
        <v>1.1837956613428895</v>
      </c>
      <c r="Q49" s="85">
        <v>0.81711867156277196</v>
      </c>
      <c r="R49">
        <f t="shared" si="56"/>
        <v>2030</v>
      </c>
      <c r="S49" s="82">
        <f t="shared" ref="S49:S51" ca="1" si="63">P49*T49</f>
        <v>536.34079199641042</v>
      </c>
      <c r="T49" s="82">
        <f t="shared" ca="1" si="57"/>
        <v>453.06872588803816</v>
      </c>
      <c r="U49" s="82">
        <f t="shared" ref="U49:U51" ca="1" si="64">Q49*T49</f>
        <v>370.21091542427143</v>
      </c>
      <c r="V49">
        <f t="shared" si="58"/>
        <v>2030</v>
      </c>
      <c r="W49" s="82">
        <f t="shared" ca="1" si="59"/>
        <v>740.05659770751413</v>
      </c>
      <c r="X49" s="17">
        <f t="shared" si="60"/>
        <v>625.15569356623519</v>
      </c>
      <c r="Y49" s="82">
        <f t="shared" ca="1" si="61"/>
        <v>510.82638984674549</v>
      </c>
      <c r="Z49">
        <f>250+580</f>
        <v>830</v>
      </c>
      <c r="AA49">
        <f>150+480</f>
        <v>630</v>
      </c>
      <c r="AB49">
        <f>500+600</f>
        <v>1100</v>
      </c>
    </row>
    <row r="50" spans="2:28" x14ac:dyDescent="0.25">
      <c r="B50">
        <f t="shared" si="53"/>
        <v>2040</v>
      </c>
      <c r="C50" s="82">
        <f t="shared" ref="C50:N50" ca="1" si="65">OFFSET($B40,0,C$45)</f>
        <v>2.0228084938714028</v>
      </c>
      <c r="D50" s="82">
        <f t="shared" ca="1" si="65"/>
        <v>2.2787395078548358</v>
      </c>
      <c r="E50" s="82">
        <f t="shared" ca="1" si="65"/>
        <v>7.947775046290861</v>
      </c>
      <c r="F50" s="82">
        <f t="shared" ca="1" si="65"/>
        <v>8.9609609694410537</v>
      </c>
      <c r="G50" s="82">
        <f t="shared" ca="1" si="65"/>
        <v>13.102509104016047</v>
      </c>
      <c r="H50" s="82">
        <f t="shared" ca="1" si="65"/>
        <v>8.2732903503265316</v>
      </c>
      <c r="I50" s="82">
        <f t="shared" ca="1" si="65"/>
        <v>37.610898063030618</v>
      </c>
      <c r="J50" s="82">
        <f t="shared" ca="1" si="65"/>
        <v>26.499630588898654</v>
      </c>
      <c r="K50" s="82">
        <f t="shared" ca="1" si="65"/>
        <v>53.167970135884097</v>
      </c>
      <c r="L50" s="82">
        <f t="shared" ca="1" si="65"/>
        <v>32.894562591799108</v>
      </c>
      <c r="M50" s="82">
        <f t="shared" ca="1" si="65"/>
        <v>58.103971297695701</v>
      </c>
      <c r="N50" s="82">
        <f t="shared" ca="1" si="65"/>
        <v>569.33644553755983</v>
      </c>
      <c r="O50" s="83">
        <f t="shared" ca="1" si="55"/>
        <v>0.6941438061327041</v>
      </c>
      <c r="P50" s="85">
        <v>1.2210000000000001</v>
      </c>
      <c r="Q50" s="85">
        <v>0.72584855498772782</v>
      </c>
      <c r="R50">
        <f t="shared" si="56"/>
        <v>2040</v>
      </c>
      <c r="S50" s="82">
        <f t="shared" ca="1" si="63"/>
        <v>695.15980000136062</v>
      </c>
      <c r="T50" s="82">
        <f t="shared" ca="1" si="57"/>
        <v>569.33644553755983</v>
      </c>
      <c r="U50" s="82">
        <f t="shared" ca="1" si="64"/>
        <v>413.25203629528698</v>
      </c>
      <c r="V50">
        <f t="shared" si="58"/>
        <v>2040</v>
      </c>
      <c r="W50" s="82">
        <f t="shared" ca="1" si="59"/>
        <v>1001.4636648194227</v>
      </c>
      <c r="X50" s="17">
        <f t="shared" si="60"/>
        <v>820.19956168666874</v>
      </c>
      <c r="Y50" s="82">
        <f t="shared" ca="1" si="61"/>
        <v>595.34066665183616</v>
      </c>
      <c r="AA50">
        <f>680+400</f>
        <v>1080</v>
      </c>
      <c r="AB50">
        <f>2700+1130</f>
        <v>3830</v>
      </c>
    </row>
    <row r="51" spans="2:28" x14ac:dyDescent="0.25">
      <c r="B51">
        <f t="shared" si="53"/>
        <v>2050</v>
      </c>
      <c r="C51" s="82">
        <f t="shared" ref="C51:N51" ca="1" si="66">OFFSET($B41,0,C$45)</f>
        <v>3.154870927721328</v>
      </c>
      <c r="D51" s="82">
        <f t="shared" ca="1" si="66"/>
        <v>2.7194038575732566</v>
      </c>
      <c r="E51" s="82">
        <f t="shared" ca="1" si="66"/>
        <v>12.946088067739014</v>
      </c>
      <c r="F51" s="82">
        <f t="shared" ca="1" si="66"/>
        <v>12.153306455368813</v>
      </c>
      <c r="G51" s="82">
        <f t="shared" ca="1" si="66"/>
        <v>19.420008440421359</v>
      </c>
      <c r="H51" s="82">
        <f t="shared" ca="1" si="66"/>
        <v>8.486462696058501</v>
      </c>
      <c r="I51" s="82">
        <f t="shared" ca="1" si="66"/>
        <v>56.259094250231243</v>
      </c>
      <c r="J51" s="82">
        <f t="shared" ca="1" si="66"/>
        <v>29.667566537114169</v>
      </c>
      <c r="K51" s="82">
        <f t="shared" ca="1" si="66"/>
        <v>54.951608674523165</v>
      </c>
      <c r="L51" s="82">
        <f t="shared" ca="1" si="66"/>
        <v>48.691988281399396</v>
      </c>
      <c r="M51" s="82">
        <f t="shared" ca="1" si="66"/>
        <v>94.645246641247212</v>
      </c>
      <c r="N51" s="82">
        <f t="shared" ca="1" si="66"/>
        <v>722.2398850926179</v>
      </c>
      <c r="O51" s="83">
        <f t="shared" ca="1" si="55"/>
        <v>0.67794592858973479</v>
      </c>
      <c r="P51" s="85">
        <f>P50</f>
        <v>1.2210000000000001</v>
      </c>
      <c r="Q51" s="85">
        <v>0.63444268317819308</v>
      </c>
      <c r="R51">
        <f t="shared" si="56"/>
        <v>2050</v>
      </c>
      <c r="S51" s="82">
        <f t="shared" ca="1" si="63"/>
        <v>881.85489969808657</v>
      </c>
      <c r="T51" s="82">
        <f t="shared" ca="1" si="57"/>
        <v>722.2398850926179</v>
      </c>
      <c r="U51" s="82">
        <f t="shared" ca="1" si="64"/>
        <v>458.21981059647032</v>
      </c>
      <c r="V51">
        <f t="shared" si="58"/>
        <v>2050</v>
      </c>
      <c r="W51" s="82">
        <f t="shared" ca="1" si="59"/>
        <v>1300.7746820347811</v>
      </c>
      <c r="X51" s="17">
        <f t="shared" si="60"/>
        <v>1065.3355299220154</v>
      </c>
      <c r="Y51" s="82">
        <f t="shared" ca="1" si="61"/>
        <v>675.89433208878563</v>
      </c>
    </row>
    <row r="59" spans="2:28" x14ac:dyDescent="0.25">
      <c r="C59">
        <v>2006</v>
      </c>
      <c r="D59">
        <v>2007</v>
      </c>
      <c r="E59">
        <v>2008</v>
      </c>
      <c r="F59">
        <v>2009</v>
      </c>
      <c r="G59">
        <v>2010</v>
      </c>
      <c r="H59">
        <v>2011</v>
      </c>
      <c r="I59">
        <v>2012</v>
      </c>
      <c r="J59">
        <v>2013</v>
      </c>
      <c r="K59">
        <v>2014</v>
      </c>
      <c r="L59">
        <v>2015</v>
      </c>
      <c r="M59">
        <v>2016</v>
      </c>
      <c r="N59">
        <v>2017</v>
      </c>
      <c r="O59">
        <v>2018</v>
      </c>
      <c r="P59">
        <v>2019</v>
      </c>
      <c r="Q59">
        <v>2020</v>
      </c>
      <c r="R59">
        <v>2021</v>
      </c>
      <c r="S59">
        <v>2022</v>
      </c>
      <c r="T59">
        <v>2023</v>
      </c>
      <c r="U59">
        <v>2024</v>
      </c>
      <c r="V59">
        <v>2025</v>
      </c>
    </row>
    <row r="60" spans="2:28" x14ac:dyDescent="0.25">
      <c r="B60" t="s">
        <v>13</v>
      </c>
      <c r="C60" s="17">
        <v>3529</v>
      </c>
      <c r="D60" s="17">
        <v>4509</v>
      </c>
      <c r="E60" s="17">
        <v>5105</v>
      </c>
      <c r="F60" s="17">
        <v>5784</v>
      </c>
      <c r="G60" s="17">
        <v>6343</v>
      </c>
      <c r="H60" s="17">
        <v>6929</v>
      </c>
      <c r="I60" s="17">
        <v>7516</v>
      </c>
      <c r="J60" s="17">
        <v>8122</v>
      </c>
      <c r="K60" s="17">
        <v>8772</v>
      </c>
      <c r="L60" s="17">
        <v>9437</v>
      </c>
      <c r="M60" s="17">
        <v>10032</v>
      </c>
      <c r="N60" s="17">
        <v>10658</v>
      </c>
      <c r="O60" s="17">
        <v>11316</v>
      </c>
      <c r="P60" s="17">
        <v>12008</v>
      </c>
      <c r="Q60" s="17">
        <v>12674</v>
      </c>
      <c r="R60" s="17">
        <v>13364</v>
      </c>
      <c r="S60" s="17">
        <v>14077</v>
      </c>
      <c r="T60" s="17">
        <v>14812</v>
      </c>
      <c r="U60" s="17">
        <v>15568</v>
      </c>
      <c r="V60" s="17">
        <v>16345</v>
      </c>
    </row>
    <row r="61" spans="2:28" x14ac:dyDescent="0.25">
      <c r="B61" t="s">
        <v>14</v>
      </c>
      <c r="C61" s="17">
        <v>2627</v>
      </c>
      <c r="D61" s="17">
        <v>2847</v>
      </c>
      <c r="E61" s="17">
        <v>3201</v>
      </c>
      <c r="F61" s="17">
        <v>3838</v>
      </c>
      <c r="G61" s="17">
        <v>4202</v>
      </c>
      <c r="H61" s="17">
        <v>4545</v>
      </c>
      <c r="I61" s="17">
        <v>4659</v>
      </c>
      <c r="J61" s="17">
        <v>4935</v>
      </c>
      <c r="K61" s="17">
        <v>5173</v>
      </c>
      <c r="L61" s="17">
        <v>5298</v>
      </c>
      <c r="M61" s="17">
        <v>5411</v>
      </c>
      <c r="N61" s="17">
        <v>5919</v>
      </c>
      <c r="O61" s="17">
        <v>6247</v>
      </c>
      <c r="P61" s="17">
        <v>6744</v>
      </c>
      <c r="Q61" s="17">
        <v>6848</v>
      </c>
      <c r="R61" s="17">
        <v>6949</v>
      </c>
      <c r="S61" s="17">
        <v>7049</v>
      </c>
      <c r="T61" s="17">
        <v>7147</v>
      </c>
      <c r="U61" s="17">
        <v>7243</v>
      </c>
      <c r="V61" s="17">
        <v>7336</v>
      </c>
    </row>
    <row r="62" spans="2:28" x14ac:dyDescent="0.25">
      <c r="B62" t="s">
        <v>15</v>
      </c>
      <c r="C62" s="17">
        <v>5485</v>
      </c>
      <c r="D62" s="17">
        <v>6274</v>
      </c>
      <c r="E62" s="17">
        <v>7177</v>
      </c>
      <c r="F62" s="17">
        <v>8209</v>
      </c>
      <c r="G62" s="17">
        <v>9390</v>
      </c>
      <c r="H62" s="17">
        <v>9781</v>
      </c>
      <c r="I62" s="17">
        <v>10188</v>
      </c>
      <c r="J62" s="17">
        <v>10612</v>
      </c>
      <c r="K62" s="17">
        <v>11054</v>
      </c>
      <c r="L62" s="17">
        <v>11514</v>
      </c>
      <c r="M62" s="17">
        <v>11947</v>
      </c>
      <c r="N62" s="17">
        <v>12444</v>
      </c>
      <c r="O62" s="17">
        <v>12962</v>
      </c>
      <c r="P62" s="17">
        <v>13502</v>
      </c>
      <c r="Q62" s="17">
        <v>13848</v>
      </c>
      <c r="R62" s="17">
        <v>14369</v>
      </c>
      <c r="S62" s="17">
        <v>14967</v>
      </c>
      <c r="T62" s="17">
        <v>15590</v>
      </c>
      <c r="U62" s="17">
        <v>16239</v>
      </c>
      <c r="V62" s="17">
        <v>16915</v>
      </c>
    </row>
    <row r="63" spans="2:28" x14ac:dyDescent="0.25">
      <c r="B63" t="s">
        <v>16</v>
      </c>
      <c r="C63">
        <v>490</v>
      </c>
      <c r="D63">
        <v>512</v>
      </c>
      <c r="E63">
        <v>528</v>
      </c>
      <c r="F63">
        <v>554</v>
      </c>
      <c r="G63">
        <v>576</v>
      </c>
      <c r="H63">
        <v>600</v>
      </c>
      <c r="I63">
        <v>625</v>
      </c>
      <c r="J63">
        <v>651</v>
      </c>
      <c r="K63">
        <v>678</v>
      </c>
      <c r="L63">
        <v>706</v>
      </c>
      <c r="M63">
        <v>736</v>
      </c>
      <c r="N63">
        <v>767</v>
      </c>
      <c r="O63">
        <v>798</v>
      </c>
      <c r="P63">
        <v>832</v>
      </c>
      <c r="Q63">
        <v>866</v>
      </c>
      <c r="R63">
        <v>902</v>
      </c>
      <c r="S63">
        <v>940</v>
      </c>
      <c r="T63">
        <v>979</v>
      </c>
      <c r="U63" s="17">
        <v>1020</v>
      </c>
      <c r="V63" s="17">
        <v>1063</v>
      </c>
    </row>
    <row r="64" spans="2:28" x14ac:dyDescent="0.25">
      <c r="B64" t="s">
        <v>17</v>
      </c>
      <c r="C64" s="17">
        <v>1266</v>
      </c>
      <c r="D64" s="17">
        <v>1315</v>
      </c>
      <c r="E64" s="17">
        <v>1405</v>
      </c>
      <c r="F64" s="17">
        <v>1503</v>
      </c>
      <c r="G64" s="17">
        <v>1600</v>
      </c>
      <c r="H64" s="17">
        <v>1971</v>
      </c>
      <c r="I64" s="17">
        <v>2065</v>
      </c>
      <c r="J64" s="17">
        <v>2158</v>
      </c>
      <c r="K64" s="17">
        <v>2253</v>
      </c>
      <c r="L64" s="17">
        <v>2347</v>
      </c>
      <c r="M64" s="17">
        <v>2443</v>
      </c>
      <c r="N64" s="17">
        <v>2539</v>
      </c>
      <c r="O64" s="17">
        <v>2636</v>
      </c>
      <c r="P64" s="17">
        <v>2734</v>
      </c>
      <c r="Q64" s="17">
        <v>2833</v>
      </c>
      <c r="R64" s="17">
        <v>2934</v>
      </c>
      <c r="S64" s="17">
        <v>3020</v>
      </c>
      <c r="T64" s="17">
        <v>3108</v>
      </c>
      <c r="U64" s="17">
        <v>3199</v>
      </c>
      <c r="V64" s="17">
        <v>3293</v>
      </c>
    </row>
    <row r="65" spans="2:22" x14ac:dyDescent="0.25">
      <c r="B65" t="s">
        <v>18</v>
      </c>
      <c r="C65" s="17">
        <v>2622</v>
      </c>
      <c r="D65" s="17">
        <v>2873</v>
      </c>
      <c r="E65" s="17">
        <v>3240</v>
      </c>
      <c r="F65" s="17">
        <v>3505</v>
      </c>
      <c r="G65" s="17">
        <v>3758</v>
      </c>
      <c r="H65" s="17">
        <v>3996</v>
      </c>
      <c r="I65" s="17">
        <v>4269</v>
      </c>
      <c r="J65" s="17">
        <v>4464</v>
      </c>
      <c r="K65" s="17">
        <v>4678</v>
      </c>
      <c r="L65" s="17">
        <v>4898</v>
      </c>
      <c r="M65" s="17">
        <v>5084</v>
      </c>
      <c r="N65" s="17">
        <v>5302</v>
      </c>
      <c r="O65" s="17">
        <v>5515</v>
      </c>
      <c r="P65" s="17">
        <v>5736</v>
      </c>
      <c r="Q65" s="17">
        <v>5966</v>
      </c>
      <c r="R65" s="17">
        <v>6205</v>
      </c>
      <c r="S65" s="17">
        <v>6454</v>
      </c>
      <c r="T65" s="17">
        <v>6713</v>
      </c>
      <c r="U65" s="17">
        <v>6982</v>
      </c>
      <c r="V65" s="17">
        <v>7262</v>
      </c>
    </row>
    <row r="66" spans="2:22" x14ac:dyDescent="0.25">
      <c r="B66" t="s">
        <v>19</v>
      </c>
      <c r="C66" s="17">
        <v>2533</v>
      </c>
      <c r="D66" s="17">
        <v>2653</v>
      </c>
      <c r="E66" s="17">
        <v>2900</v>
      </c>
      <c r="F66" s="17">
        <v>2943</v>
      </c>
      <c r="G66" s="17">
        <v>2992</v>
      </c>
      <c r="H66" s="17">
        <v>3042</v>
      </c>
      <c r="I66" s="17">
        <v>3117</v>
      </c>
      <c r="J66" s="17">
        <v>3175</v>
      </c>
      <c r="K66" s="17">
        <v>3256</v>
      </c>
      <c r="L66" s="17">
        <v>3353</v>
      </c>
      <c r="M66" s="17">
        <v>3461</v>
      </c>
      <c r="N66" s="17">
        <v>3569</v>
      </c>
      <c r="O66" s="17">
        <v>3688</v>
      </c>
      <c r="P66" s="17">
        <v>3812</v>
      </c>
      <c r="Q66" s="17">
        <v>3940</v>
      </c>
      <c r="R66" s="17">
        <v>4069</v>
      </c>
      <c r="S66" s="17">
        <v>4203</v>
      </c>
      <c r="T66" s="17">
        <v>4341</v>
      </c>
      <c r="U66" s="17">
        <v>4485</v>
      </c>
      <c r="V66" s="17">
        <v>4629</v>
      </c>
    </row>
    <row r="67" spans="2:22" x14ac:dyDescent="0.25">
      <c r="B67" t="s">
        <v>20</v>
      </c>
      <c r="C67" s="17">
        <v>226571</v>
      </c>
      <c r="D67" s="17">
        <v>237625</v>
      </c>
      <c r="E67" s="17">
        <v>248976</v>
      </c>
      <c r="F67" s="17">
        <v>262952</v>
      </c>
      <c r="G67" s="17">
        <v>269940</v>
      </c>
      <c r="H67" s="17">
        <v>281141</v>
      </c>
      <c r="I67" s="17">
        <v>290958</v>
      </c>
      <c r="J67" s="17">
        <v>298292</v>
      </c>
      <c r="K67" s="17">
        <v>305014</v>
      </c>
      <c r="L67" s="17">
        <v>311474</v>
      </c>
      <c r="M67" s="17">
        <v>317746</v>
      </c>
      <c r="N67" s="17">
        <v>323398</v>
      </c>
      <c r="O67" s="17">
        <v>329361</v>
      </c>
      <c r="P67" s="17">
        <v>334819</v>
      </c>
      <c r="Q67" s="17">
        <v>341021</v>
      </c>
      <c r="R67" s="17">
        <v>346781</v>
      </c>
      <c r="S67" s="17">
        <v>351052</v>
      </c>
      <c r="T67" s="17">
        <v>355298</v>
      </c>
      <c r="U67" s="17">
        <v>361495</v>
      </c>
      <c r="V67" s="17">
        <v>365152</v>
      </c>
    </row>
    <row r="68" spans="2:22" x14ac:dyDescent="0.25">
      <c r="B68" t="s">
        <v>21</v>
      </c>
      <c r="C68" s="17">
        <v>1064</v>
      </c>
      <c r="D68" s="17">
        <v>1098</v>
      </c>
      <c r="E68" s="17">
        <v>1154</v>
      </c>
      <c r="F68" s="17">
        <v>1205</v>
      </c>
      <c r="G68" s="17">
        <v>1262</v>
      </c>
      <c r="H68" s="17">
        <v>1319</v>
      </c>
      <c r="I68" s="17">
        <v>1386</v>
      </c>
      <c r="J68" s="17">
        <v>1443</v>
      </c>
      <c r="K68" s="17">
        <v>1494</v>
      </c>
      <c r="L68" s="17">
        <v>1534</v>
      </c>
      <c r="M68" s="17">
        <v>1573</v>
      </c>
      <c r="N68" s="17">
        <v>1624</v>
      </c>
      <c r="O68" s="17">
        <v>1658</v>
      </c>
      <c r="P68" s="17">
        <v>1698</v>
      </c>
      <c r="Q68" s="17">
        <v>1720</v>
      </c>
      <c r="R68" s="17">
        <v>1743</v>
      </c>
      <c r="S68" s="17">
        <v>1760</v>
      </c>
      <c r="T68" s="17">
        <v>1783</v>
      </c>
      <c r="U68" s="17">
        <v>1805</v>
      </c>
      <c r="V68" s="17">
        <v>1828</v>
      </c>
    </row>
    <row r="69" spans="2:22" x14ac:dyDescent="0.25">
      <c r="B69" t="s">
        <v>22</v>
      </c>
      <c r="C69" s="17">
        <v>3556</v>
      </c>
      <c r="D69" s="17">
        <v>4171</v>
      </c>
      <c r="E69" s="17">
        <v>4414</v>
      </c>
      <c r="F69" s="17">
        <v>4628</v>
      </c>
      <c r="G69" s="17">
        <v>4820</v>
      </c>
      <c r="H69" s="17">
        <v>5021</v>
      </c>
      <c r="I69" s="17">
        <v>5230</v>
      </c>
      <c r="J69" s="17">
        <v>5448</v>
      </c>
      <c r="K69" s="17">
        <v>5675</v>
      </c>
      <c r="L69" s="17">
        <v>5911</v>
      </c>
      <c r="M69" s="17">
        <v>6158</v>
      </c>
      <c r="N69" s="17">
        <v>6415</v>
      </c>
      <c r="O69" s="17">
        <v>6683</v>
      </c>
      <c r="P69" s="17">
        <v>6962</v>
      </c>
      <c r="Q69" s="17">
        <v>7252</v>
      </c>
      <c r="R69" s="17">
        <v>7555</v>
      </c>
      <c r="S69" s="17">
        <v>7871</v>
      </c>
      <c r="T69" s="17">
        <v>8200</v>
      </c>
      <c r="U69" s="17">
        <v>8543</v>
      </c>
      <c r="V69" s="17">
        <v>8900</v>
      </c>
    </row>
    <row r="70" spans="2:22" x14ac:dyDescent="0.25">
      <c r="B70" t="s">
        <v>23</v>
      </c>
      <c r="C70" s="17">
        <v>10214</v>
      </c>
      <c r="D70" s="17">
        <v>11355</v>
      </c>
      <c r="E70" s="17">
        <v>12191</v>
      </c>
      <c r="F70" s="17">
        <v>13117</v>
      </c>
      <c r="G70" s="17">
        <v>13509</v>
      </c>
      <c r="H70" s="17">
        <v>14208</v>
      </c>
      <c r="I70" s="17">
        <v>14497</v>
      </c>
      <c r="J70" s="17">
        <v>14725</v>
      </c>
      <c r="K70" s="17">
        <v>14955</v>
      </c>
      <c r="L70" s="17">
        <v>15188</v>
      </c>
      <c r="M70" s="17">
        <v>15427</v>
      </c>
      <c r="N70" s="17">
        <v>15669</v>
      </c>
      <c r="O70" s="17">
        <v>15870</v>
      </c>
      <c r="P70" s="17">
        <v>16070</v>
      </c>
      <c r="Q70" s="17">
        <v>16168</v>
      </c>
      <c r="R70" s="17">
        <v>16474</v>
      </c>
      <c r="S70" s="17">
        <v>16677</v>
      </c>
      <c r="T70" s="17">
        <v>16777</v>
      </c>
      <c r="U70" s="17">
        <v>17086</v>
      </c>
      <c r="V70" s="17">
        <v>17291</v>
      </c>
    </row>
    <row r="71" spans="2:22" x14ac:dyDescent="0.25">
      <c r="B71" t="s">
        <v>24</v>
      </c>
      <c r="C71" s="17">
        <v>12240</v>
      </c>
      <c r="D71" s="17">
        <v>12441</v>
      </c>
      <c r="E71" s="17">
        <v>12668</v>
      </c>
      <c r="F71" s="17">
        <v>12924</v>
      </c>
      <c r="G71" s="17">
        <v>13221</v>
      </c>
      <c r="H71" s="17">
        <v>13592</v>
      </c>
      <c r="I71" s="17">
        <v>13990</v>
      </c>
      <c r="J71" s="17">
        <v>14400</v>
      </c>
      <c r="K71" s="17">
        <v>14828</v>
      </c>
      <c r="L71" s="17">
        <v>15317</v>
      </c>
      <c r="M71" s="17">
        <v>15829</v>
      </c>
      <c r="N71" s="17">
        <v>16358</v>
      </c>
      <c r="O71" s="17">
        <v>16905</v>
      </c>
      <c r="P71" s="17">
        <v>17470</v>
      </c>
      <c r="Q71" s="17">
        <v>18055</v>
      </c>
      <c r="R71" s="17">
        <v>18660</v>
      </c>
      <c r="S71" s="17">
        <v>19285</v>
      </c>
      <c r="T71" s="17">
        <v>19932</v>
      </c>
      <c r="U71" s="17">
        <v>20601</v>
      </c>
      <c r="V71" s="17">
        <v>21295</v>
      </c>
    </row>
    <row r="74" spans="2:22" x14ac:dyDescent="0.25">
      <c r="C74" t="s">
        <v>67</v>
      </c>
      <c r="D74" t="s">
        <v>68</v>
      </c>
    </row>
    <row r="75" spans="2:22" x14ac:dyDescent="0.25">
      <c r="B75" t="s">
        <v>13</v>
      </c>
      <c r="C75">
        <v>535</v>
      </c>
      <c r="D75" s="17">
        <v>3293</v>
      </c>
    </row>
    <row r="76" spans="2:22" x14ac:dyDescent="0.25">
      <c r="B76" t="s">
        <v>14</v>
      </c>
      <c r="C76">
        <v>493</v>
      </c>
      <c r="D76">
        <v>657</v>
      </c>
    </row>
    <row r="77" spans="2:22" x14ac:dyDescent="0.25">
      <c r="B77" t="s">
        <v>15</v>
      </c>
      <c r="C77">
        <v>1050</v>
      </c>
      <c r="D77" s="17">
        <v>7581</v>
      </c>
    </row>
    <row r="78" spans="2:22" x14ac:dyDescent="0.25">
      <c r="B78" t="s">
        <v>16</v>
      </c>
      <c r="C78">
        <v>109</v>
      </c>
      <c r="D78">
        <v>486</v>
      </c>
    </row>
    <row r="79" spans="2:22" x14ac:dyDescent="0.25">
      <c r="B79" t="s">
        <v>17</v>
      </c>
      <c r="C79">
        <v>240</v>
      </c>
      <c r="D79" s="17">
        <v>1447</v>
      </c>
    </row>
    <row r="80" spans="2:22" x14ac:dyDescent="0.25">
      <c r="B80" t="s">
        <v>18</v>
      </c>
      <c r="C80">
        <v>365</v>
      </c>
      <c r="D80">
        <v>222</v>
      </c>
    </row>
    <row r="81" spans="2:4" x14ac:dyDescent="0.25">
      <c r="B81" t="s">
        <v>19</v>
      </c>
      <c r="C81">
        <v>449</v>
      </c>
      <c r="D81" s="17">
        <v>1576</v>
      </c>
    </row>
    <row r="82" spans="2:4" x14ac:dyDescent="0.25">
      <c r="B82" t="s">
        <v>20</v>
      </c>
      <c r="C82" s="17">
        <v>36513</v>
      </c>
      <c r="D82" s="17">
        <v>239108</v>
      </c>
    </row>
    <row r="83" spans="2:4" x14ac:dyDescent="0.25">
      <c r="B83" t="s">
        <v>21</v>
      </c>
      <c r="C83">
        <v>196</v>
      </c>
      <c r="D83">
        <v>125.8</v>
      </c>
    </row>
    <row r="84" spans="2:4" x14ac:dyDescent="0.25">
      <c r="B84" t="s">
        <v>22</v>
      </c>
      <c r="C84">
        <v>653</v>
      </c>
      <c r="D84">
        <v>4141</v>
      </c>
    </row>
    <row r="85" spans="2:4" x14ac:dyDescent="0.25">
      <c r="B85" t="s">
        <v>23</v>
      </c>
      <c r="C85" s="17">
        <v>1468</v>
      </c>
      <c r="D85" s="17">
        <v>9677</v>
      </c>
    </row>
    <row r="86" spans="2:4" x14ac:dyDescent="0.25">
      <c r="B86" t="s">
        <v>24</v>
      </c>
      <c r="C86" s="17">
        <v>1758</v>
      </c>
      <c r="D86" s="17">
        <v>7781</v>
      </c>
    </row>
    <row r="89" spans="2:4" x14ac:dyDescent="0.25">
      <c r="B89" t="s">
        <v>97</v>
      </c>
      <c r="C89" t="s">
        <v>13</v>
      </c>
      <c r="D89" t="str">
        <f>B89</f>
        <v>ANG</v>
      </c>
    </row>
    <row r="90" spans="2:4" x14ac:dyDescent="0.25">
      <c r="B90" t="s">
        <v>98</v>
      </c>
      <c r="C90" t="s">
        <v>14</v>
      </c>
      <c r="D90" t="str">
        <f t="shared" ref="D90:D100" si="67">B90</f>
        <v>BOT</v>
      </c>
    </row>
    <row r="91" spans="2:4" x14ac:dyDescent="0.25">
      <c r="B91" t="s">
        <v>32</v>
      </c>
      <c r="C91" t="s">
        <v>15</v>
      </c>
      <c r="D91" t="str">
        <f t="shared" si="67"/>
        <v>DRC</v>
      </c>
    </row>
    <row r="92" spans="2:4" x14ac:dyDescent="0.25">
      <c r="B92" t="s">
        <v>99</v>
      </c>
      <c r="C92" t="s">
        <v>16</v>
      </c>
      <c r="D92" t="str">
        <f t="shared" si="67"/>
        <v>LES</v>
      </c>
    </row>
    <row r="93" spans="2:4" x14ac:dyDescent="0.25">
      <c r="B93" t="s">
        <v>100</v>
      </c>
      <c r="C93" t="s">
        <v>17</v>
      </c>
      <c r="D93" t="str">
        <f t="shared" si="67"/>
        <v>MAL</v>
      </c>
    </row>
    <row r="94" spans="2:4" x14ac:dyDescent="0.25">
      <c r="B94" t="s">
        <v>101</v>
      </c>
      <c r="C94" t="s">
        <v>18</v>
      </c>
      <c r="D94" t="str">
        <f t="shared" si="67"/>
        <v>MOZ</v>
      </c>
    </row>
    <row r="95" spans="2:4" x14ac:dyDescent="0.25">
      <c r="B95" t="s">
        <v>102</v>
      </c>
      <c r="C95" t="s">
        <v>19</v>
      </c>
      <c r="D95" t="str">
        <f t="shared" si="67"/>
        <v>NAM</v>
      </c>
    </row>
    <row r="96" spans="2:4" x14ac:dyDescent="0.25">
      <c r="B96" t="s">
        <v>107</v>
      </c>
      <c r="C96" t="s">
        <v>20</v>
      </c>
      <c r="D96" t="str">
        <f t="shared" si="67"/>
        <v>SAF</v>
      </c>
    </row>
    <row r="97" spans="2:4" x14ac:dyDescent="0.25">
      <c r="B97" t="s">
        <v>103</v>
      </c>
      <c r="C97" t="s">
        <v>21</v>
      </c>
      <c r="D97" t="str">
        <f t="shared" si="67"/>
        <v>SWA</v>
      </c>
    </row>
    <row r="98" spans="2:4" x14ac:dyDescent="0.25">
      <c r="B98" t="s">
        <v>104</v>
      </c>
      <c r="C98" t="s">
        <v>22</v>
      </c>
      <c r="D98" t="str">
        <f t="shared" si="67"/>
        <v>TAN</v>
      </c>
    </row>
    <row r="99" spans="2:4" x14ac:dyDescent="0.25">
      <c r="B99" t="s">
        <v>105</v>
      </c>
      <c r="C99" t="s">
        <v>23</v>
      </c>
      <c r="D99" t="str">
        <f t="shared" si="67"/>
        <v>ZAM</v>
      </c>
    </row>
    <row r="100" spans="2:4" x14ac:dyDescent="0.25">
      <c r="B100" t="s">
        <v>106</v>
      </c>
      <c r="C100" t="s">
        <v>24</v>
      </c>
      <c r="D100" t="str">
        <f t="shared" si="67"/>
        <v>ZIM</v>
      </c>
    </row>
  </sheetData>
  <pageMargins left="0.7" right="0.7" top="0.75" bottom="0.75" header="0.3" footer="0.3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T31"/>
  <sheetViews>
    <sheetView workbookViewId="0"/>
  </sheetViews>
  <sheetFormatPr defaultRowHeight="15" x14ac:dyDescent="0.25"/>
  <cols>
    <col min="2" max="2" width="22.28515625" customWidth="1"/>
    <col min="6" max="6" width="11.7109375" customWidth="1"/>
    <col min="10" max="10" width="11.5703125" customWidth="1"/>
    <col min="11" max="11" width="9" customWidth="1"/>
    <col min="12" max="12" width="9.140625" customWidth="1"/>
    <col min="13" max="13" width="7.85546875" customWidth="1"/>
  </cols>
  <sheetData>
    <row r="1" spans="2:15" x14ac:dyDescent="0.25">
      <c r="B1">
        <v>1</v>
      </c>
      <c r="C1">
        <f>B1+1</f>
        <v>2</v>
      </c>
      <c r="D1">
        <f t="shared" ref="D1:O1" si="0">C1+1</f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>H1+1</f>
        <v>8</v>
      </c>
      <c r="J1">
        <f>I1+1</f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>M1+1</f>
        <v>13</v>
      </c>
      <c r="O1">
        <f t="shared" si="0"/>
        <v>14</v>
      </c>
    </row>
    <row r="2" spans="2:15" ht="30" customHeight="1" x14ac:dyDescent="0.25">
      <c r="B2" s="46" t="s">
        <v>42</v>
      </c>
      <c r="C2" s="46" t="s">
        <v>43</v>
      </c>
      <c r="D2" s="46" t="s">
        <v>44</v>
      </c>
      <c r="E2" s="46" t="s">
        <v>45</v>
      </c>
      <c r="F2" s="46" t="s">
        <v>46</v>
      </c>
      <c r="G2" s="46" t="s">
        <v>47</v>
      </c>
      <c r="H2" s="46" t="s">
        <v>48</v>
      </c>
      <c r="I2" s="46" t="s">
        <v>49</v>
      </c>
      <c r="J2" s="46" t="s">
        <v>50</v>
      </c>
      <c r="K2" s="46" t="s">
        <v>51</v>
      </c>
      <c r="L2" s="46" t="s">
        <v>52</v>
      </c>
      <c r="M2" s="46" t="s">
        <v>82</v>
      </c>
      <c r="N2" s="46" t="s">
        <v>65</v>
      </c>
      <c r="O2" s="46" t="s">
        <v>66</v>
      </c>
    </row>
    <row r="3" spans="2:15" x14ac:dyDescent="0.25">
      <c r="B3" s="47"/>
      <c r="C3" s="47"/>
      <c r="D3" s="47" t="s">
        <v>10</v>
      </c>
      <c r="E3" s="47" t="s">
        <v>10</v>
      </c>
      <c r="F3" s="47" t="s">
        <v>10</v>
      </c>
      <c r="G3" s="47" t="s">
        <v>12</v>
      </c>
      <c r="H3" s="47" t="s">
        <v>1</v>
      </c>
      <c r="I3" s="47" t="s">
        <v>12</v>
      </c>
      <c r="J3" s="47" t="s">
        <v>1</v>
      </c>
      <c r="K3" s="47" t="s">
        <v>1</v>
      </c>
      <c r="L3" s="47" t="s">
        <v>1</v>
      </c>
      <c r="M3" s="47" t="s">
        <v>12</v>
      </c>
      <c r="N3" s="47" t="s">
        <v>1</v>
      </c>
      <c r="O3" s="47" t="s">
        <v>1</v>
      </c>
    </row>
    <row r="4" spans="2:15" x14ac:dyDescent="0.25">
      <c r="B4" s="48" t="s">
        <v>13</v>
      </c>
      <c r="C4" s="48" t="s">
        <v>53</v>
      </c>
      <c r="D4" s="48">
        <v>1155</v>
      </c>
      <c r="E4" s="48">
        <v>870</v>
      </c>
      <c r="F4" s="48">
        <v>535</v>
      </c>
      <c r="G4" s="48">
        <v>21</v>
      </c>
      <c r="H4" s="49">
        <v>2362</v>
      </c>
      <c r="I4" s="48">
        <v>18.100000000000001</v>
      </c>
      <c r="J4" s="49">
        <v>3293</v>
      </c>
      <c r="K4" s="48">
        <v>21</v>
      </c>
      <c r="L4" s="48">
        <v>0</v>
      </c>
      <c r="M4" s="51">
        <v>0.13</v>
      </c>
      <c r="N4" s="49">
        <f>J4+K4-L4</f>
        <v>3314</v>
      </c>
      <c r="O4" s="50">
        <f>N4*(1-M4)</f>
        <v>2883.18</v>
      </c>
    </row>
    <row r="5" spans="2:15" x14ac:dyDescent="0.25">
      <c r="B5" s="48" t="s">
        <v>14</v>
      </c>
      <c r="C5" s="48" t="s">
        <v>54</v>
      </c>
      <c r="D5" s="48">
        <v>132</v>
      </c>
      <c r="E5" s="52">
        <v>120</v>
      </c>
      <c r="F5" s="48">
        <v>493</v>
      </c>
      <c r="G5" s="48">
        <v>4.2</v>
      </c>
      <c r="H5" s="48">
        <v>2815</v>
      </c>
      <c r="I5" s="48">
        <v>1.4</v>
      </c>
      <c r="J5" s="48">
        <v>657</v>
      </c>
      <c r="K5" s="49">
        <v>2572</v>
      </c>
      <c r="L5" s="48">
        <v>0</v>
      </c>
      <c r="M5" s="51">
        <v>3.5000000000000003E-2</v>
      </c>
      <c r="N5" s="49">
        <f t="shared" ref="N5:N15" si="1">J5+K5-L5</f>
        <v>3229</v>
      </c>
      <c r="O5" s="50">
        <f t="shared" ref="O5:O15" si="2">N5*(1-M5)</f>
        <v>3115.9849999999997</v>
      </c>
    </row>
    <row r="6" spans="2:15" x14ac:dyDescent="0.25">
      <c r="B6" s="48" t="s">
        <v>15</v>
      </c>
      <c r="C6" s="48" t="s">
        <v>55</v>
      </c>
      <c r="D6" s="49">
        <v>2442</v>
      </c>
      <c r="E6" s="49">
        <v>1170</v>
      </c>
      <c r="F6" s="48">
        <v>1050</v>
      </c>
      <c r="G6" s="48">
        <v>2.2000000000000002</v>
      </c>
      <c r="H6" s="49">
        <v>6100</v>
      </c>
      <c r="I6" s="48">
        <v>7</v>
      </c>
      <c r="J6" s="49">
        <v>7581</v>
      </c>
      <c r="K6" s="48">
        <v>78</v>
      </c>
      <c r="L6" s="49">
        <v>1014</v>
      </c>
      <c r="M6" s="51">
        <v>7.6999999999999999E-2</v>
      </c>
      <c r="N6" s="49">
        <f t="shared" si="1"/>
        <v>6645</v>
      </c>
      <c r="O6" s="50">
        <f t="shared" si="2"/>
        <v>6133.335</v>
      </c>
    </row>
    <row r="7" spans="2:15" x14ac:dyDescent="0.25">
      <c r="B7" s="48" t="s">
        <v>16</v>
      </c>
      <c r="C7" s="48" t="s">
        <v>56</v>
      </c>
      <c r="D7" s="48">
        <v>72</v>
      </c>
      <c r="E7" s="48">
        <v>70</v>
      </c>
      <c r="F7" s="48">
        <v>109</v>
      </c>
      <c r="G7" s="48">
        <v>7.3</v>
      </c>
      <c r="H7" s="48">
        <v>478</v>
      </c>
      <c r="I7" s="48">
        <v>12.1</v>
      </c>
      <c r="J7" s="48">
        <v>486</v>
      </c>
      <c r="K7" s="48">
        <v>49</v>
      </c>
      <c r="L7" s="48">
        <v>7.4</v>
      </c>
      <c r="M7" s="51">
        <v>0.11</v>
      </c>
      <c r="N7" s="49">
        <f t="shared" si="1"/>
        <v>527.6</v>
      </c>
      <c r="O7" s="50">
        <f t="shared" si="2"/>
        <v>469.56400000000002</v>
      </c>
    </row>
    <row r="8" spans="2:15" x14ac:dyDescent="0.25">
      <c r="B8" s="48" t="s">
        <v>17</v>
      </c>
      <c r="C8" s="48" t="s">
        <v>57</v>
      </c>
      <c r="D8" s="48">
        <v>302</v>
      </c>
      <c r="E8" s="48">
        <v>246</v>
      </c>
      <c r="F8" s="48">
        <v>240</v>
      </c>
      <c r="G8" s="48">
        <v>-4.4000000000000004</v>
      </c>
      <c r="H8" s="48">
        <v>1166</v>
      </c>
      <c r="I8" s="48">
        <v>4.4000000000000004</v>
      </c>
      <c r="J8" s="49">
        <v>1447</v>
      </c>
      <c r="K8" s="48">
        <v>0</v>
      </c>
      <c r="L8" s="48">
        <v>0</v>
      </c>
      <c r="M8" s="51">
        <v>5.0999999999999997E-2</v>
      </c>
      <c r="N8" s="49">
        <f t="shared" si="1"/>
        <v>1447</v>
      </c>
      <c r="O8" s="50">
        <f t="shared" si="2"/>
        <v>1373.203</v>
      </c>
    </row>
    <row r="9" spans="2:15" x14ac:dyDescent="0.25">
      <c r="B9" s="48" t="s">
        <v>18</v>
      </c>
      <c r="C9" s="48" t="s">
        <v>58</v>
      </c>
      <c r="D9" s="48">
        <v>248.5</v>
      </c>
      <c r="E9" s="48">
        <v>174</v>
      </c>
      <c r="F9" s="48">
        <v>365</v>
      </c>
      <c r="G9" s="48">
        <v>14.1</v>
      </c>
      <c r="H9" s="49">
        <v>1380</v>
      </c>
      <c r="I9" s="48">
        <v>5.6</v>
      </c>
      <c r="J9" s="68">
        <f>222+K11</f>
        <v>11220</v>
      </c>
      <c r="K9" s="68">
        <v>8435</v>
      </c>
      <c r="L9" s="68">
        <f>K11</f>
        <v>10998</v>
      </c>
      <c r="M9" s="51">
        <v>7.0000000000000007E-2</v>
      </c>
      <c r="N9" s="49">
        <f t="shared" si="1"/>
        <v>8657</v>
      </c>
      <c r="O9" s="50">
        <f t="shared" si="2"/>
        <v>8051.0099999999993</v>
      </c>
    </row>
    <row r="10" spans="2:15" x14ac:dyDescent="0.25">
      <c r="B10" s="48" t="s">
        <v>19</v>
      </c>
      <c r="C10" s="48" t="s">
        <v>59</v>
      </c>
      <c r="D10" s="48">
        <v>393</v>
      </c>
      <c r="E10" s="48">
        <v>360</v>
      </c>
      <c r="F10" s="48">
        <v>449</v>
      </c>
      <c r="G10" s="48">
        <v>10.3</v>
      </c>
      <c r="H10" s="49">
        <v>3259</v>
      </c>
      <c r="I10" s="48">
        <v>4.4000000000000004</v>
      </c>
      <c r="J10" s="49">
        <v>1576</v>
      </c>
      <c r="K10" s="49">
        <v>2045</v>
      </c>
      <c r="L10" s="48">
        <v>0</v>
      </c>
      <c r="M10" s="51">
        <v>0.08</v>
      </c>
      <c r="N10" s="49">
        <f t="shared" si="1"/>
        <v>3621</v>
      </c>
      <c r="O10" s="50">
        <f t="shared" si="2"/>
        <v>3331.32</v>
      </c>
    </row>
    <row r="11" spans="2:15" x14ac:dyDescent="0.25">
      <c r="B11" s="48" t="s">
        <v>20</v>
      </c>
      <c r="C11" s="48" t="s">
        <v>60</v>
      </c>
      <c r="D11" s="49">
        <v>43061</v>
      </c>
      <c r="E11" s="49">
        <v>38384</v>
      </c>
      <c r="F11" s="49">
        <v>36513</v>
      </c>
      <c r="G11" s="48">
        <v>4.9000000000000004</v>
      </c>
      <c r="H11" s="49">
        <v>224367</v>
      </c>
      <c r="I11" s="48">
        <v>2.9</v>
      </c>
      <c r="J11" s="49">
        <v>239108</v>
      </c>
      <c r="K11" s="49">
        <v>10998</v>
      </c>
      <c r="L11" s="80">
        <v>14126</v>
      </c>
      <c r="M11" s="51">
        <v>3.7999999999999999E-2</v>
      </c>
      <c r="N11" s="49">
        <f t="shared" si="1"/>
        <v>235980</v>
      </c>
      <c r="O11" s="50">
        <f t="shared" si="2"/>
        <v>227012.75999999998</v>
      </c>
    </row>
    <row r="12" spans="2:15" x14ac:dyDescent="0.25">
      <c r="B12" s="48" t="s">
        <v>21</v>
      </c>
      <c r="C12" s="48" t="s">
        <v>61</v>
      </c>
      <c r="D12" s="48">
        <v>51</v>
      </c>
      <c r="E12" s="48">
        <v>50</v>
      </c>
      <c r="F12" s="48">
        <v>196</v>
      </c>
      <c r="G12" s="48">
        <v>4.3</v>
      </c>
      <c r="H12" s="48">
        <v>855.8</v>
      </c>
      <c r="I12" s="48">
        <v>-0.5</v>
      </c>
      <c r="J12" s="48">
        <v>125.8</v>
      </c>
      <c r="K12" s="48">
        <v>993</v>
      </c>
      <c r="L12" s="48">
        <v>0</v>
      </c>
      <c r="M12" s="51">
        <v>0.16</v>
      </c>
      <c r="N12" s="49">
        <f t="shared" si="1"/>
        <v>1118.8</v>
      </c>
      <c r="O12" s="50">
        <f t="shared" si="2"/>
        <v>939.79199999999992</v>
      </c>
    </row>
    <row r="13" spans="2:15" x14ac:dyDescent="0.25">
      <c r="B13" s="48" t="s">
        <v>22</v>
      </c>
      <c r="C13" s="48" t="s">
        <v>62</v>
      </c>
      <c r="D13" s="48">
        <v>1186</v>
      </c>
      <c r="E13" s="48">
        <v>680</v>
      </c>
      <c r="F13" s="48">
        <v>653</v>
      </c>
      <c r="G13" s="48">
        <v>8.3000000000000007</v>
      </c>
      <c r="H13" s="49">
        <v>3225</v>
      </c>
      <c r="I13" s="48">
        <v>16</v>
      </c>
      <c r="J13" s="48">
        <v>4141</v>
      </c>
      <c r="K13" s="48">
        <v>57</v>
      </c>
      <c r="L13" s="48">
        <v>0</v>
      </c>
      <c r="M13" s="51">
        <v>5.4000000000000006E-2</v>
      </c>
      <c r="N13" s="49">
        <f t="shared" si="1"/>
        <v>4198</v>
      </c>
      <c r="O13" s="50">
        <f t="shared" si="2"/>
        <v>3971.308</v>
      </c>
    </row>
    <row r="14" spans="2:15" x14ac:dyDescent="0.25">
      <c r="B14" s="48" t="s">
        <v>23</v>
      </c>
      <c r="C14" s="48" t="s">
        <v>63</v>
      </c>
      <c r="D14" s="49">
        <v>1737</v>
      </c>
      <c r="E14" s="52">
        <v>1630</v>
      </c>
      <c r="F14" s="49">
        <v>1468</v>
      </c>
      <c r="G14" s="48">
        <v>5.0999999999999996</v>
      </c>
      <c r="H14" s="49">
        <v>8285</v>
      </c>
      <c r="I14" s="48">
        <v>-8.1999999999999993</v>
      </c>
      <c r="J14" s="49">
        <v>9677</v>
      </c>
      <c r="K14" s="48">
        <v>0</v>
      </c>
      <c r="L14" s="48">
        <v>199</v>
      </c>
      <c r="M14" s="51">
        <v>3.9E-2</v>
      </c>
      <c r="N14" s="49">
        <f t="shared" si="1"/>
        <v>9478</v>
      </c>
      <c r="O14" s="50">
        <f t="shared" si="2"/>
        <v>9108.3580000000002</v>
      </c>
    </row>
    <row r="15" spans="2:15" x14ac:dyDescent="0.25">
      <c r="B15" s="48" t="s">
        <v>24</v>
      </c>
      <c r="C15" s="48" t="s">
        <v>64</v>
      </c>
      <c r="D15" s="49">
        <v>2045</v>
      </c>
      <c r="E15" s="53">
        <v>1825</v>
      </c>
      <c r="F15" s="49">
        <v>1758</v>
      </c>
      <c r="G15" s="48">
        <v>-7.7</v>
      </c>
      <c r="H15" s="49">
        <v>10293</v>
      </c>
      <c r="I15" s="48">
        <v>-1.1000000000000001</v>
      </c>
      <c r="J15" s="49">
        <v>7781</v>
      </c>
      <c r="K15" s="49">
        <v>2367</v>
      </c>
      <c r="L15" s="48">
        <v>30</v>
      </c>
      <c r="M15" s="51">
        <v>3.9E-2</v>
      </c>
      <c r="N15" s="49">
        <f t="shared" si="1"/>
        <v>10118</v>
      </c>
      <c r="O15" s="50">
        <f t="shared" si="2"/>
        <v>9723.3979999999992</v>
      </c>
    </row>
    <row r="16" spans="2:15" x14ac:dyDescent="0.25">
      <c r="J16" s="69" t="s">
        <v>25</v>
      </c>
      <c r="K16" s="70">
        <f>SUM(K4:K15)</f>
        <v>27615</v>
      </c>
      <c r="L16" s="70">
        <f>SUM(L4:L15)</f>
        <v>26374.400000000001</v>
      </c>
    </row>
    <row r="17" spans="1:20" x14ac:dyDescent="0.25">
      <c r="B17" t="s">
        <v>174</v>
      </c>
      <c r="K17" s="17"/>
      <c r="P17" t="s">
        <v>176</v>
      </c>
      <c r="Q17" t="s">
        <v>175</v>
      </c>
      <c r="R17" t="s">
        <v>180</v>
      </c>
      <c r="S17" t="s">
        <v>178</v>
      </c>
      <c r="T17" t="s">
        <v>179</v>
      </c>
    </row>
    <row r="18" spans="1:20" x14ac:dyDescent="0.25">
      <c r="A18" t="str">
        <f>VLOOKUP(B18,PoolPlan_EnergyProj!$C$89:$D$100,2,FALSE)</f>
        <v>ANG</v>
      </c>
      <c r="B18" t="str">
        <f>B4</f>
        <v>Angola</v>
      </c>
      <c r="C18" t="str">
        <f>C4</f>
        <v>ENE</v>
      </c>
      <c r="F18">
        <v>723</v>
      </c>
      <c r="H18" s="100">
        <v>3498</v>
      </c>
      <c r="J18">
        <v>4900</v>
      </c>
      <c r="K18">
        <v>27</v>
      </c>
      <c r="M18" s="91">
        <v>0.1</v>
      </c>
      <c r="N18" s="49">
        <f>J18+K18-L18</f>
        <v>4927</v>
      </c>
      <c r="O18" s="50">
        <f>N18*(1-M18)</f>
        <v>4434.3</v>
      </c>
      <c r="P18" s="83">
        <f>1-H18/O18</f>
        <v>0.21114944861646712</v>
      </c>
      <c r="Q18" s="83">
        <f>1-(1-P18)*(1-M18)</f>
        <v>0.29003450375482043</v>
      </c>
      <c r="R18" s="102">
        <v>0.05</v>
      </c>
      <c r="S18" s="102">
        <v>0.15</v>
      </c>
      <c r="T18" s="83">
        <f>1-(1-S18)*(1-R18)</f>
        <v>0.1925</v>
      </c>
    </row>
    <row r="19" spans="1:20" x14ac:dyDescent="0.25">
      <c r="A19" t="str">
        <f>VLOOKUP(B19,PoolPlan_EnergyProj!$C$89:$D$100,2,FALSE)</f>
        <v>BOT</v>
      </c>
      <c r="B19" t="str">
        <f t="shared" ref="B19:C29" si="3">B5</f>
        <v>Botswana</v>
      </c>
      <c r="C19" t="str">
        <f t="shared" si="3"/>
        <v>BPC</v>
      </c>
      <c r="F19">
        <v>553</v>
      </c>
      <c r="H19" s="100">
        <v>2936</v>
      </c>
      <c r="J19">
        <v>445</v>
      </c>
      <c r="K19">
        <v>2945</v>
      </c>
      <c r="M19" s="101">
        <v>3.5999999999999997E-2</v>
      </c>
      <c r="N19" s="49">
        <f t="shared" ref="N19:N29" si="4">J19+K19-L19</f>
        <v>3390</v>
      </c>
      <c r="O19" s="50">
        <f t="shared" ref="O19:O29" si="5">N19*(1-M19)</f>
        <v>3267.96</v>
      </c>
      <c r="P19" s="83">
        <f t="shared" ref="P19:P29" si="6">1-H19/O19</f>
        <v>0.10158019070000857</v>
      </c>
      <c r="Q19" s="83">
        <f t="shared" ref="Q19:Q29" si="7">1-(1-P19)*(1-M19)</f>
        <v>0.13392330383480833</v>
      </c>
      <c r="R19" s="101">
        <f>M19</f>
        <v>3.5999999999999997E-2</v>
      </c>
      <c r="S19" s="91">
        <f>P19</f>
        <v>0.10158019070000857</v>
      </c>
      <c r="T19" s="83">
        <f t="shared" ref="T19:T29" si="8">1-(1-S19)*(1-R19)</f>
        <v>0.13392330383480833</v>
      </c>
    </row>
    <row r="20" spans="1:20" x14ac:dyDescent="0.25">
      <c r="A20" t="str">
        <f>VLOOKUP(B20,PoolPlan_EnergyProj!$C$89:$D$100,2,FALSE)</f>
        <v>DRC</v>
      </c>
      <c r="B20" t="str">
        <f t="shared" si="3"/>
        <v>Democratic Republic of Congo</v>
      </c>
      <c r="C20" t="str">
        <f t="shared" si="3"/>
        <v>SNEL</v>
      </c>
      <c r="D20" s="17"/>
      <c r="F20">
        <v>1079</v>
      </c>
      <c r="H20" s="100">
        <v>6323</v>
      </c>
      <c r="J20">
        <v>7641</v>
      </c>
      <c r="K20">
        <v>38</v>
      </c>
      <c r="L20">
        <v>871</v>
      </c>
      <c r="M20" s="101">
        <v>9.2999999999999999E-2</v>
      </c>
      <c r="N20" s="49">
        <f t="shared" si="4"/>
        <v>6808</v>
      </c>
      <c r="O20" s="50">
        <f t="shared" si="5"/>
        <v>6174.8559999999998</v>
      </c>
      <c r="P20" s="83">
        <f t="shared" si="6"/>
        <v>-2.3991490651765757E-2</v>
      </c>
      <c r="Q20" s="83">
        <f t="shared" si="7"/>
        <v>7.1239717978848427E-2</v>
      </c>
      <c r="R20" s="102">
        <v>0.05</v>
      </c>
      <c r="S20" s="102">
        <v>0.15</v>
      </c>
      <c r="T20" s="83">
        <f t="shared" si="8"/>
        <v>0.1925</v>
      </c>
    </row>
    <row r="21" spans="1:20" x14ac:dyDescent="0.25">
      <c r="A21" t="str">
        <f>VLOOKUP(B21,PoolPlan_EnergyProj!$C$89:$D$100,2,FALSE)</f>
        <v>LES</v>
      </c>
      <c r="B21" t="str">
        <f t="shared" si="3"/>
        <v>Lesotho</v>
      </c>
      <c r="C21" t="str">
        <f t="shared" si="3"/>
        <v>LEC</v>
      </c>
      <c r="F21">
        <v>121</v>
      </c>
      <c r="H21" s="100">
        <v>488</v>
      </c>
      <c r="J21">
        <v>486</v>
      </c>
      <c r="K21">
        <v>49</v>
      </c>
      <c r="L21">
        <v>7.4</v>
      </c>
      <c r="M21" s="91">
        <v>0.11</v>
      </c>
      <c r="N21" s="49">
        <f t="shared" si="4"/>
        <v>527.6</v>
      </c>
      <c r="O21" s="50">
        <f t="shared" si="5"/>
        <v>469.56400000000002</v>
      </c>
      <c r="P21" s="83">
        <f t="shared" si="6"/>
        <v>-3.9261953642101943E-2</v>
      </c>
      <c r="Q21" s="83">
        <f t="shared" si="7"/>
        <v>7.5056861258529284E-2</v>
      </c>
      <c r="R21" s="102">
        <v>0.05</v>
      </c>
      <c r="S21" s="102">
        <v>0.1</v>
      </c>
      <c r="T21" s="83">
        <f t="shared" si="8"/>
        <v>0.14500000000000002</v>
      </c>
    </row>
    <row r="22" spans="1:20" x14ac:dyDescent="0.25">
      <c r="A22" t="str">
        <f>VLOOKUP(B22,PoolPlan_EnergyProj!$C$89:$D$100,2,FALSE)</f>
        <v>MAL</v>
      </c>
      <c r="B22" t="str">
        <f t="shared" si="3"/>
        <v>Malawi</v>
      </c>
      <c r="C22" t="str">
        <f t="shared" si="3"/>
        <v>ESCOM</v>
      </c>
      <c r="D22" s="17"/>
      <c r="F22">
        <v>260</v>
      </c>
      <c r="H22" s="100">
        <v>1439</v>
      </c>
      <c r="J22">
        <v>1543</v>
      </c>
      <c r="M22" s="101">
        <v>7.6999999999999999E-2</v>
      </c>
      <c r="N22" s="49">
        <f t="shared" si="4"/>
        <v>1543</v>
      </c>
      <c r="O22" s="50">
        <f t="shared" si="5"/>
        <v>1424.1890000000001</v>
      </c>
      <c r="P22" s="83">
        <f t="shared" si="6"/>
        <v>-1.0399602861698831E-2</v>
      </c>
      <c r="Q22" s="83">
        <f t="shared" si="7"/>
        <v>6.7401166558651915E-2</v>
      </c>
      <c r="R22" s="102">
        <v>0.05</v>
      </c>
      <c r="S22" s="102">
        <v>0.14000000000000001</v>
      </c>
      <c r="T22" s="83">
        <f t="shared" si="8"/>
        <v>0.18300000000000005</v>
      </c>
    </row>
    <row r="23" spans="1:20" x14ac:dyDescent="0.25">
      <c r="A23" t="str">
        <f>VLOOKUP(B23,PoolPlan_EnergyProj!$C$89:$D$100,2,FALSE)</f>
        <v>MOZ</v>
      </c>
      <c r="B23" t="str">
        <f t="shared" si="3"/>
        <v>Mozambique</v>
      </c>
      <c r="C23" t="str">
        <f t="shared" si="3"/>
        <v>EDM</v>
      </c>
      <c r="F23">
        <v>501</v>
      </c>
      <c r="H23" s="100">
        <v>1748</v>
      </c>
      <c r="J23">
        <v>341</v>
      </c>
      <c r="K23">
        <v>2326</v>
      </c>
      <c r="L23">
        <v>309</v>
      </c>
      <c r="M23" s="91">
        <v>7.0000000000000007E-2</v>
      </c>
      <c r="N23" s="49">
        <f t="shared" si="4"/>
        <v>2358</v>
      </c>
      <c r="O23" s="50">
        <f t="shared" si="5"/>
        <v>2192.94</v>
      </c>
      <c r="P23" s="83">
        <f t="shared" si="6"/>
        <v>0.20289656807755796</v>
      </c>
      <c r="Q23" s="83">
        <f t="shared" si="7"/>
        <v>0.25869380831212896</v>
      </c>
      <c r="R23" s="102">
        <v>0.05</v>
      </c>
      <c r="S23" s="102">
        <v>0.15</v>
      </c>
      <c r="T23" s="83">
        <f t="shared" si="8"/>
        <v>0.1925</v>
      </c>
    </row>
    <row r="24" spans="1:20" x14ac:dyDescent="0.25">
      <c r="A24" t="str">
        <f>VLOOKUP(B24,PoolPlan_EnergyProj!$C$89:$D$100,2,FALSE)</f>
        <v>NAM</v>
      </c>
      <c r="B24" t="str">
        <f t="shared" si="3"/>
        <v>Namibia</v>
      </c>
      <c r="C24" t="str">
        <f t="shared" si="3"/>
        <v>Nampower</v>
      </c>
      <c r="D24" s="17"/>
      <c r="F24">
        <v>449</v>
      </c>
      <c r="H24" s="100">
        <v>3648</v>
      </c>
      <c r="J24">
        <v>1305</v>
      </c>
      <c r="K24">
        <v>2462</v>
      </c>
      <c r="L24">
        <v>294</v>
      </c>
      <c r="M24" s="101">
        <v>3.2000000000000001E-2</v>
      </c>
      <c r="N24" s="49">
        <f t="shared" si="4"/>
        <v>3473</v>
      </c>
      <c r="O24" s="50">
        <f t="shared" si="5"/>
        <v>3361.864</v>
      </c>
      <c r="P24" s="83">
        <f t="shared" si="6"/>
        <v>-8.511230674411574E-2</v>
      </c>
      <c r="Q24" s="83">
        <f t="shared" si="7"/>
        <v>-5.0388712928304047E-2</v>
      </c>
      <c r="R24" s="101">
        <f>M24</f>
        <v>3.2000000000000001E-2</v>
      </c>
      <c r="S24" s="91">
        <v>0.1</v>
      </c>
      <c r="T24" s="83">
        <f t="shared" si="8"/>
        <v>0.12880000000000003</v>
      </c>
    </row>
    <row r="25" spans="1:20" x14ac:dyDescent="0.25">
      <c r="A25" t="str">
        <f>VLOOKUP(B25,PoolPlan_EnergyProj!$C$89:$D$100,2,FALSE)</f>
        <v>SAF</v>
      </c>
      <c r="B25" t="str">
        <f t="shared" si="3"/>
        <v>South Africa</v>
      </c>
      <c r="C25" t="str">
        <f t="shared" si="3"/>
        <v>ESKOM</v>
      </c>
      <c r="F25">
        <v>35850</v>
      </c>
      <c r="H25" s="100">
        <v>218591</v>
      </c>
      <c r="J25">
        <v>232812</v>
      </c>
      <c r="K25">
        <v>10047</v>
      </c>
      <c r="L25">
        <v>13754</v>
      </c>
      <c r="M25" s="103">
        <v>3.9E-2</v>
      </c>
      <c r="N25" s="49">
        <f t="shared" si="4"/>
        <v>229105</v>
      </c>
      <c r="O25" s="50">
        <f t="shared" si="5"/>
        <v>220169.905</v>
      </c>
      <c r="P25" s="83">
        <f t="shared" si="6"/>
        <v>7.1713025447324164E-3</v>
      </c>
      <c r="Q25" s="83">
        <f t="shared" si="7"/>
        <v>4.5891621745487887E-2</v>
      </c>
      <c r="R25" s="101">
        <f>M25</f>
        <v>3.9E-2</v>
      </c>
      <c r="S25" s="102">
        <v>7.0999999999999994E-2</v>
      </c>
      <c r="T25" s="83">
        <f t="shared" si="8"/>
        <v>0.10723099999999997</v>
      </c>
    </row>
    <row r="26" spans="1:20" x14ac:dyDescent="0.25">
      <c r="A26" t="str">
        <f>VLOOKUP(B26,PoolPlan_EnergyProj!$C$89:$D$100,2,FALSE)</f>
        <v>SWA</v>
      </c>
      <c r="B26" t="str">
        <f t="shared" si="3"/>
        <v>Swaziland</v>
      </c>
      <c r="C26" t="str">
        <f t="shared" si="3"/>
        <v>SEB</v>
      </c>
      <c r="D26" s="17"/>
      <c r="F26">
        <v>204</v>
      </c>
      <c r="H26" s="100">
        <v>1018.6</v>
      </c>
      <c r="J26">
        <v>288.10000000000002</v>
      </c>
      <c r="K26">
        <v>909.4</v>
      </c>
      <c r="M26" s="91">
        <v>0.06</v>
      </c>
      <c r="N26" s="49">
        <f t="shared" si="4"/>
        <v>1197.5</v>
      </c>
      <c r="O26" s="50">
        <f t="shared" si="5"/>
        <v>1125.6499999999999</v>
      </c>
      <c r="P26" s="83">
        <f t="shared" si="6"/>
        <v>9.5100608537289411E-2</v>
      </c>
      <c r="Q26" s="83">
        <f t="shared" si="7"/>
        <v>0.14939457202505213</v>
      </c>
      <c r="R26" s="102">
        <v>0.05</v>
      </c>
      <c r="S26" s="91">
        <f>P26</f>
        <v>9.5100608537289411E-2</v>
      </c>
      <c r="T26" s="83">
        <f t="shared" si="8"/>
        <v>0.14034557811042503</v>
      </c>
    </row>
    <row r="27" spans="1:20" x14ac:dyDescent="0.25">
      <c r="A27" t="str">
        <f>VLOOKUP(B27,PoolPlan_EnergyProj!$C$89:$D$100,2,FALSE)</f>
        <v>TAN</v>
      </c>
      <c r="B27" t="str">
        <f t="shared" si="3"/>
        <v>Tanzania</v>
      </c>
      <c r="C27" t="str">
        <f t="shared" si="3"/>
        <v>TANESCO</v>
      </c>
      <c r="D27" s="17"/>
      <c r="F27">
        <v>802</v>
      </c>
      <c r="H27" s="100">
        <v>2292</v>
      </c>
      <c r="J27">
        <v>4371</v>
      </c>
      <c r="K27">
        <v>52</v>
      </c>
      <c r="M27" s="101">
        <v>4.4999999999999998E-2</v>
      </c>
      <c r="N27" s="49">
        <f t="shared" si="4"/>
        <v>4423</v>
      </c>
      <c r="O27" s="50">
        <f t="shared" si="5"/>
        <v>4223.9650000000001</v>
      </c>
      <c r="P27" s="83">
        <f t="shared" si="6"/>
        <v>0.45738186751073928</v>
      </c>
      <c r="Q27" s="83">
        <f t="shared" si="7"/>
        <v>0.48179968347275604</v>
      </c>
      <c r="R27" s="101">
        <f>M27</f>
        <v>4.4999999999999998E-2</v>
      </c>
      <c r="S27" s="102">
        <v>0.15</v>
      </c>
      <c r="T27" s="83">
        <f t="shared" si="8"/>
        <v>0.18825000000000003</v>
      </c>
    </row>
    <row r="28" spans="1:20" x14ac:dyDescent="0.25">
      <c r="A28" t="str">
        <f>VLOOKUP(B28,PoolPlan_EnergyProj!$C$89:$D$100,2,FALSE)</f>
        <v>ZAM</v>
      </c>
      <c r="B28" t="str">
        <f t="shared" si="3"/>
        <v>Zambia</v>
      </c>
      <c r="C28" t="str">
        <f t="shared" si="3"/>
        <v>ZESCO</v>
      </c>
      <c r="F28">
        <v>1500</v>
      </c>
      <c r="H28" s="100">
        <v>9631</v>
      </c>
      <c r="J28">
        <v>10156</v>
      </c>
      <c r="L28">
        <v>65.599999999999994</v>
      </c>
      <c r="M28" s="101">
        <v>4.3999999999999997E-2</v>
      </c>
      <c r="N28" s="49">
        <f t="shared" si="4"/>
        <v>10090.4</v>
      </c>
      <c r="O28" s="50">
        <f t="shared" si="5"/>
        <v>9646.4223999999995</v>
      </c>
      <c r="P28" s="83">
        <f t="shared" si="6"/>
        <v>1.5987688865873873E-3</v>
      </c>
      <c r="Q28" s="83">
        <f t="shared" si="7"/>
        <v>4.5528423055577583E-2</v>
      </c>
      <c r="R28" s="101">
        <f t="shared" ref="R28:R29" si="9">M28</f>
        <v>4.3999999999999997E-2</v>
      </c>
      <c r="S28" s="102">
        <v>0.15</v>
      </c>
      <c r="T28" s="83">
        <f t="shared" si="8"/>
        <v>0.18740000000000001</v>
      </c>
    </row>
    <row r="29" spans="1:20" x14ac:dyDescent="0.25">
      <c r="A29" t="str">
        <f>VLOOKUP(B29,PoolPlan_EnergyProj!$C$89:$D$100,2,FALSE)</f>
        <v>ZIM</v>
      </c>
      <c r="B29" t="str">
        <f t="shared" si="3"/>
        <v>Zimbabwe</v>
      </c>
      <c r="C29" t="str">
        <f t="shared" si="3"/>
        <v>ZESA</v>
      </c>
      <c r="F29">
        <v>2029</v>
      </c>
      <c r="H29" s="100">
        <v>7367</v>
      </c>
      <c r="J29">
        <v>6951</v>
      </c>
      <c r="K29">
        <v>1531</v>
      </c>
      <c r="L29">
        <v>1025</v>
      </c>
      <c r="M29" s="91">
        <v>0.04</v>
      </c>
      <c r="N29" s="49">
        <f t="shared" si="4"/>
        <v>7457</v>
      </c>
      <c r="O29" s="50">
        <f t="shared" si="5"/>
        <v>7158.7199999999993</v>
      </c>
      <c r="P29" s="83">
        <f t="shared" si="6"/>
        <v>-2.9094586741764017E-2</v>
      </c>
      <c r="Q29" s="83">
        <f t="shared" si="7"/>
        <v>1.2069196727906628E-2</v>
      </c>
      <c r="R29" s="101">
        <f t="shared" si="9"/>
        <v>0.04</v>
      </c>
      <c r="S29" s="102">
        <v>0.1</v>
      </c>
      <c r="T29" s="83">
        <f t="shared" si="8"/>
        <v>0.13600000000000001</v>
      </c>
    </row>
    <row r="30" spans="1:20" x14ac:dyDescent="0.25">
      <c r="C30" s="17"/>
      <c r="D30" s="17"/>
    </row>
    <row r="31" spans="1:20" x14ac:dyDescent="0.25">
      <c r="C31" s="17"/>
      <c r="D31" s="17"/>
      <c r="N31" s="100">
        <f>N29/(0.76*8.76)</f>
        <v>1120.0732996875752</v>
      </c>
    </row>
  </sheetData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EK69"/>
  <sheetViews>
    <sheetView tabSelected="1" topLeftCell="V15" workbookViewId="0"/>
  </sheetViews>
  <sheetFormatPr defaultRowHeight="15" x14ac:dyDescent="0.25"/>
  <cols>
    <col min="4" max="4" width="26.42578125" customWidth="1"/>
  </cols>
  <sheetData>
    <row r="1" spans="1:141" x14ac:dyDescent="0.25">
      <c r="N1" s="17">
        <v>1000</v>
      </c>
      <c r="BP1" s="17">
        <v>1000</v>
      </c>
      <c r="CO1">
        <v>2010</v>
      </c>
      <c r="CP1">
        <f t="shared" ref="CP1:DJ1" si="0">CO1+1</f>
        <v>2011</v>
      </c>
      <c r="CQ1">
        <f t="shared" si="0"/>
        <v>2012</v>
      </c>
      <c r="CR1">
        <f t="shared" si="0"/>
        <v>2013</v>
      </c>
      <c r="CS1">
        <f t="shared" si="0"/>
        <v>2014</v>
      </c>
      <c r="CT1">
        <f t="shared" si="0"/>
        <v>2015</v>
      </c>
      <c r="CU1">
        <f t="shared" si="0"/>
        <v>2016</v>
      </c>
      <c r="CV1">
        <f t="shared" si="0"/>
        <v>2017</v>
      </c>
      <c r="CW1">
        <f t="shared" si="0"/>
        <v>2018</v>
      </c>
      <c r="CX1">
        <f t="shared" si="0"/>
        <v>2019</v>
      </c>
      <c r="CY1">
        <f t="shared" si="0"/>
        <v>2020</v>
      </c>
      <c r="CZ1">
        <f t="shared" si="0"/>
        <v>2021</v>
      </c>
      <c r="DA1">
        <f t="shared" si="0"/>
        <v>2022</v>
      </c>
      <c r="DB1">
        <f t="shared" si="0"/>
        <v>2023</v>
      </c>
      <c r="DC1">
        <f t="shared" si="0"/>
        <v>2024</v>
      </c>
      <c r="DD1">
        <f t="shared" si="0"/>
        <v>2025</v>
      </c>
      <c r="DE1">
        <f t="shared" si="0"/>
        <v>2026</v>
      </c>
      <c r="DF1">
        <f t="shared" si="0"/>
        <v>2027</v>
      </c>
      <c r="DG1">
        <f t="shared" si="0"/>
        <v>2028</v>
      </c>
      <c r="DH1">
        <f t="shared" si="0"/>
        <v>2029</v>
      </c>
      <c r="DI1">
        <f t="shared" si="0"/>
        <v>2030</v>
      </c>
      <c r="DJ1">
        <f t="shared" si="0"/>
        <v>2031</v>
      </c>
      <c r="DK1">
        <v>2040</v>
      </c>
      <c r="DL1">
        <v>2050</v>
      </c>
    </row>
    <row r="2" spans="1:141" x14ac:dyDescent="0.25">
      <c r="AP2">
        <f>COLUMN()</f>
        <v>42</v>
      </c>
      <c r="BP2">
        <f>BP4</f>
        <v>2010</v>
      </c>
      <c r="BQ2">
        <f t="shared" ref="BQ2:CM2" si="1">BQ4</f>
        <v>2011</v>
      </c>
      <c r="BR2">
        <f t="shared" si="1"/>
        <v>2012</v>
      </c>
      <c r="BS2">
        <f t="shared" si="1"/>
        <v>2013</v>
      </c>
      <c r="BT2">
        <f t="shared" si="1"/>
        <v>2014</v>
      </c>
      <c r="BU2">
        <f t="shared" si="1"/>
        <v>2015</v>
      </c>
      <c r="BV2">
        <f t="shared" si="1"/>
        <v>2016</v>
      </c>
      <c r="BW2">
        <f t="shared" si="1"/>
        <v>2017</v>
      </c>
      <c r="BX2">
        <f t="shared" si="1"/>
        <v>2018</v>
      </c>
      <c r="BY2">
        <f t="shared" si="1"/>
        <v>2019</v>
      </c>
      <c r="BZ2">
        <f t="shared" si="1"/>
        <v>2020</v>
      </c>
      <c r="CA2">
        <f t="shared" si="1"/>
        <v>2021</v>
      </c>
      <c r="CB2">
        <f t="shared" si="1"/>
        <v>2022</v>
      </c>
      <c r="CC2">
        <f t="shared" si="1"/>
        <v>2023</v>
      </c>
      <c r="CD2">
        <f t="shared" si="1"/>
        <v>2024</v>
      </c>
      <c r="CE2">
        <f t="shared" si="1"/>
        <v>2025</v>
      </c>
      <c r="CF2">
        <f t="shared" si="1"/>
        <v>2026</v>
      </c>
      <c r="CG2">
        <f t="shared" si="1"/>
        <v>2027</v>
      </c>
      <c r="CH2">
        <f t="shared" si="1"/>
        <v>2028</v>
      </c>
      <c r="CI2">
        <f t="shared" si="1"/>
        <v>2029</v>
      </c>
      <c r="CJ2">
        <f t="shared" si="1"/>
        <v>2030</v>
      </c>
      <c r="CK2">
        <f t="shared" si="1"/>
        <v>2031</v>
      </c>
      <c r="CL2">
        <f t="shared" si="1"/>
        <v>2040</v>
      </c>
      <c r="CM2">
        <f t="shared" si="1"/>
        <v>2050</v>
      </c>
      <c r="CN2">
        <f>COLUMN()</f>
        <v>92</v>
      </c>
      <c r="CR2">
        <v>0</v>
      </c>
      <c r="CS2">
        <f>DL2/(DL1-CR1)*(CS1-CR1)+CR2</f>
        <v>0</v>
      </c>
      <c r="CT2">
        <f>DL2/(DL1-CR1)*(CT1-CS1)+CS2</f>
        <v>0</v>
      </c>
      <c r="CU2">
        <f>DL2/(DL1-CR1)*(CU1-CT1)+CT2</f>
        <v>0</v>
      </c>
      <c r="CV2">
        <f>DL2/(DL1-CR1)*(CV1-CU1)+CU2</f>
        <v>0</v>
      </c>
      <c r="CW2">
        <f>DL2/(DL1-CR1)*(CW1-CV1)+CV2</f>
        <v>0</v>
      </c>
      <c r="CX2">
        <f>DL2/(DL1-CR1)*(CX1-CW1)+CW2</f>
        <v>0</v>
      </c>
      <c r="CY2">
        <f>DL2/(DL1-CR1)*(CY1-CX1)+CX2</f>
        <v>0</v>
      </c>
      <c r="CZ2">
        <f>DL2/(DL1-CR1)*(CZ1-CY1)+CY2</f>
        <v>0</v>
      </c>
      <c r="DA2">
        <f>DL2/(DL1-CR1)*(DA1-CZ1)+CZ2</f>
        <v>0</v>
      </c>
      <c r="DB2">
        <f>DL2/(DL1-CR1)*(DB1-DA1)+DA2</f>
        <v>0</v>
      </c>
      <c r="DC2">
        <f>DL2/(DL1-CR1)*(DC1-DB1)+DB2</f>
        <v>0</v>
      </c>
      <c r="DD2">
        <f>DL2/(DL1-CR1)*(DD1-DC1)+DC2</f>
        <v>0</v>
      </c>
      <c r="DE2">
        <f>DL2/(DL1-CR1)*(DE1-DD1)+DD2</f>
        <v>0</v>
      </c>
      <c r="DF2">
        <f>DL2/(DL1-CR1)*(DF1-DE1)+DE2</f>
        <v>0</v>
      </c>
      <c r="DG2">
        <f>DL2/(DL1-CR1)*(DG1-DF1)+DF2</f>
        <v>0</v>
      </c>
      <c r="DH2">
        <f>DL2/(DL1-CR1)*(DH1-DG1)+DG2</f>
        <v>0</v>
      </c>
      <c r="DI2">
        <f>DL2/(DL1-CR1)*(DI1-DH1)+DH2</f>
        <v>0</v>
      </c>
      <c r="DJ2">
        <f>DL2/(DL1-CR1)*(DJ1-DI1)+DI2</f>
        <v>0</v>
      </c>
      <c r="DK2">
        <f>DL2/(DL1-CR1)*(DK1-DJ1)+DJ2</f>
        <v>0</v>
      </c>
      <c r="DL2" s="106">
        <v>0</v>
      </c>
      <c r="DM2">
        <f>COLUMN()</f>
        <v>117</v>
      </c>
    </row>
    <row r="3" spans="1:141" ht="45" x14ac:dyDescent="0.25">
      <c r="E3" s="92" t="s">
        <v>136</v>
      </c>
      <c r="F3" s="92"/>
      <c r="G3" s="92"/>
      <c r="H3" s="92"/>
      <c r="I3" s="92"/>
      <c r="J3" s="92"/>
      <c r="K3" s="92" t="s">
        <v>137</v>
      </c>
      <c r="AJ3" s="92" t="s">
        <v>177</v>
      </c>
      <c r="AK3" s="92" t="s">
        <v>138</v>
      </c>
      <c r="AL3" s="92" t="s">
        <v>139</v>
      </c>
      <c r="AM3" s="92"/>
      <c r="AN3" s="92"/>
      <c r="AO3" s="92"/>
      <c r="AQ3" s="92" t="s">
        <v>140</v>
      </c>
      <c r="BO3" s="92" t="s">
        <v>141</v>
      </c>
      <c r="BP3" t="s">
        <v>142</v>
      </c>
      <c r="CO3" t="s">
        <v>143</v>
      </c>
      <c r="DN3" t="s">
        <v>144</v>
      </c>
    </row>
    <row r="4" spans="1:141" x14ac:dyDescent="0.25">
      <c r="C4" t="str">
        <f>IFERROR(VLOOKUP(D4,PoolPlan_EnergyProj!$C$89:$D$100,2,FALSE),C3)</f>
        <v>ANG</v>
      </c>
      <c r="D4" s="93" t="s">
        <v>13</v>
      </c>
      <c r="E4">
        <v>2010</v>
      </c>
      <c r="F4">
        <v>2015</v>
      </c>
      <c r="G4">
        <v>2020</v>
      </c>
      <c r="H4">
        <v>2030</v>
      </c>
      <c r="I4">
        <v>2050</v>
      </c>
      <c r="K4">
        <v>2010</v>
      </c>
      <c r="L4">
        <f>K4+1</f>
        <v>2011</v>
      </c>
      <c r="M4">
        <f t="shared" ref="M4:AF4" si="2">L4+1</f>
        <v>2012</v>
      </c>
      <c r="N4">
        <f t="shared" si="2"/>
        <v>2013</v>
      </c>
      <c r="O4">
        <f t="shared" si="2"/>
        <v>2014</v>
      </c>
      <c r="P4">
        <f t="shared" si="2"/>
        <v>2015</v>
      </c>
      <c r="Q4">
        <f t="shared" si="2"/>
        <v>2016</v>
      </c>
      <c r="R4">
        <f t="shared" si="2"/>
        <v>2017</v>
      </c>
      <c r="S4">
        <f t="shared" si="2"/>
        <v>2018</v>
      </c>
      <c r="T4">
        <f t="shared" si="2"/>
        <v>2019</v>
      </c>
      <c r="U4">
        <f t="shared" si="2"/>
        <v>2020</v>
      </c>
      <c r="V4">
        <f t="shared" si="2"/>
        <v>2021</v>
      </c>
      <c r="W4">
        <f t="shared" si="2"/>
        <v>2022</v>
      </c>
      <c r="X4">
        <f t="shared" si="2"/>
        <v>2023</v>
      </c>
      <c r="Y4">
        <f t="shared" si="2"/>
        <v>2024</v>
      </c>
      <c r="Z4">
        <f t="shared" si="2"/>
        <v>2025</v>
      </c>
      <c r="AA4">
        <f t="shared" si="2"/>
        <v>2026</v>
      </c>
      <c r="AB4">
        <f t="shared" si="2"/>
        <v>2027</v>
      </c>
      <c r="AC4">
        <f t="shared" si="2"/>
        <v>2028</v>
      </c>
      <c r="AD4">
        <f t="shared" si="2"/>
        <v>2029</v>
      </c>
      <c r="AE4">
        <f t="shared" si="2"/>
        <v>2030</v>
      </c>
      <c r="AF4">
        <f t="shared" si="2"/>
        <v>2031</v>
      </c>
      <c r="AG4">
        <v>2040</v>
      </c>
      <c r="AH4">
        <v>2050</v>
      </c>
      <c r="AL4">
        <f>E4</f>
        <v>2010</v>
      </c>
      <c r="AM4">
        <f>G4</f>
        <v>2020</v>
      </c>
      <c r="AN4">
        <f>H4</f>
        <v>2030</v>
      </c>
      <c r="AO4">
        <f>I4</f>
        <v>2050</v>
      </c>
      <c r="AQ4">
        <v>2010</v>
      </c>
      <c r="AR4">
        <f>AQ4+1</f>
        <v>2011</v>
      </c>
      <c r="AS4">
        <f t="shared" ref="AS4:BL4" si="3">AR4+1</f>
        <v>2012</v>
      </c>
      <c r="AT4">
        <f t="shared" si="3"/>
        <v>2013</v>
      </c>
      <c r="AU4">
        <f t="shared" si="3"/>
        <v>2014</v>
      </c>
      <c r="AV4">
        <f t="shared" si="3"/>
        <v>2015</v>
      </c>
      <c r="AW4">
        <f t="shared" si="3"/>
        <v>2016</v>
      </c>
      <c r="AX4">
        <f t="shared" si="3"/>
        <v>2017</v>
      </c>
      <c r="AY4">
        <f t="shared" si="3"/>
        <v>2018</v>
      </c>
      <c r="AZ4">
        <f t="shared" si="3"/>
        <v>2019</v>
      </c>
      <c r="BA4">
        <f t="shared" si="3"/>
        <v>2020</v>
      </c>
      <c r="BB4">
        <f t="shared" si="3"/>
        <v>2021</v>
      </c>
      <c r="BC4">
        <f t="shared" si="3"/>
        <v>2022</v>
      </c>
      <c r="BD4">
        <f t="shared" si="3"/>
        <v>2023</v>
      </c>
      <c r="BE4">
        <f t="shared" si="3"/>
        <v>2024</v>
      </c>
      <c r="BF4">
        <f t="shared" si="3"/>
        <v>2025</v>
      </c>
      <c r="BG4">
        <f t="shared" si="3"/>
        <v>2026</v>
      </c>
      <c r="BH4">
        <f t="shared" si="3"/>
        <v>2027</v>
      </c>
      <c r="BI4">
        <f t="shared" si="3"/>
        <v>2028</v>
      </c>
      <c r="BJ4">
        <f t="shared" si="3"/>
        <v>2029</v>
      </c>
      <c r="BK4">
        <f t="shared" si="3"/>
        <v>2030</v>
      </c>
      <c r="BL4">
        <f t="shared" si="3"/>
        <v>2031</v>
      </c>
      <c r="BM4">
        <v>2040</v>
      </c>
      <c r="BN4">
        <v>2050</v>
      </c>
      <c r="BP4">
        <f>AQ4</f>
        <v>2010</v>
      </c>
      <c r="BQ4">
        <f>AR4</f>
        <v>2011</v>
      </c>
      <c r="BR4">
        <f t="shared" ref="BR4:CM4" si="4">AS4</f>
        <v>2012</v>
      </c>
      <c r="BS4">
        <f t="shared" si="4"/>
        <v>2013</v>
      </c>
      <c r="BT4">
        <f t="shared" si="4"/>
        <v>2014</v>
      </c>
      <c r="BU4">
        <f t="shared" si="4"/>
        <v>2015</v>
      </c>
      <c r="BV4">
        <f t="shared" si="4"/>
        <v>2016</v>
      </c>
      <c r="BW4">
        <f t="shared" si="4"/>
        <v>2017</v>
      </c>
      <c r="BX4">
        <f t="shared" si="4"/>
        <v>2018</v>
      </c>
      <c r="BY4">
        <f t="shared" si="4"/>
        <v>2019</v>
      </c>
      <c r="BZ4">
        <f t="shared" si="4"/>
        <v>2020</v>
      </c>
      <c r="CA4">
        <f t="shared" si="4"/>
        <v>2021</v>
      </c>
      <c r="CB4">
        <f t="shared" si="4"/>
        <v>2022</v>
      </c>
      <c r="CC4">
        <f t="shared" si="4"/>
        <v>2023</v>
      </c>
      <c r="CD4">
        <f t="shared" si="4"/>
        <v>2024</v>
      </c>
      <c r="CE4">
        <f t="shared" si="4"/>
        <v>2025</v>
      </c>
      <c r="CF4">
        <f t="shared" si="4"/>
        <v>2026</v>
      </c>
      <c r="CG4">
        <f t="shared" si="4"/>
        <v>2027</v>
      </c>
      <c r="CH4">
        <f t="shared" si="4"/>
        <v>2028</v>
      </c>
      <c r="CI4">
        <f t="shared" si="4"/>
        <v>2029</v>
      </c>
      <c r="CJ4">
        <f t="shared" si="4"/>
        <v>2030</v>
      </c>
      <c r="CK4">
        <f t="shared" si="4"/>
        <v>2031</v>
      </c>
      <c r="CL4">
        <f t="shared" si="4"/>
        <v>2040</v>
      </c>
      <c r="CM4">
        <f t="shared" si="4"/>
        <v>2050</v>
      </c>
      <c r="CO4">
        <f>BP4</f>
        <v>2010</v>
      </c>
      <c r="CP4">
        <f t="shared" ref="CP4:DD4" si="5">BQ4</f>
        <v>2011</v>
      </c>
      <c r="CQ4">
        <f t="shared" si="5"/>
        <v>2012</v>
      </c>
      <c r="CR4">
        <f t="shared" si="5"/>
        <v>2013</v>
      </c>
      <c r="CS4">
        <f t="shared" si="5"/>
        <v>2014</v>
      </c>
      <c r="CT4">
        <f t="shared" si="5"/>
        <v>2015</v>
      </c>
      <c r="CU4">
        <f t="shared" si="5"/>
        <v>2016</v>
      </c>
      <c r="CV4">
        <f t="shared" si="5"/>
        <v>2017</v>
      </c>
      <c r="CW4">
        <f t="shared" si="5"/>
        <v>2018</v>
      </c>
      <c r="CX4">
        <f t="shared" si="5"/>
        <v>2019</v>
      </c>
      <c r="CY4">
        <f t="shared" si="5"/>
        <v>2020</v>
      </c>
      <c r="CZ4">
        <f t="shared" si="5"/>
        <v>2021</v>
      </c>
      <c r="DA4">
        <f t="shared" si="5"/>
        <v>2022</v>
      </c>
      <c r="DB4">
        <f t="shared" si="5"/>
        <v>2023</v>
      </c>
      <c r="DC4">
        <f t="shared" si="5"/>
        <v>2024</v>
      </c>
      <c r="DD4">
        <f t="shared" si="5"/>
        <v>2025</v>
      </c>
      <c r="DE4">
        <f>CF4</f>
        <v>2026</v>
      </c>
      <c r="DF4">
        <f t="shared" ref="DF4:DG4" si="6">CG4</f>
        <v>2027</v>
      </c>
      <c r="DG4">
        <f t="shared" si="6"/>
        <v>2028</v>
      </c>
      <c r="DH4">
        <f>CI4</f>
        <v>2029</v>
      </c>
      <c r="DI4">
        <f t="shared" ref="DI4" si="7">CJ4</f>
        <v>2030</v>
      </c>
      <c r="DJ4">
        <f>CK4</f>
        <v>2031</v>
      </c>
      <c r="DK4">
        <f>CL4</f>
        <v>2040</v>
      </c>
      <c r="DL4">
        <f t="shared" ref="DL4" si="8">CM4</f>
        <v>2050</v>
      </c>
      <c r="DN4">
        <f>AQ4</f>
        <v>2010</v>
      </c>
      <c r="DO4">
        <f t="shared" ref="DO4:EK4" si="9">AR4</f>
        <v>2011</v>
      </c>
      <c r="DP4">
        <f t="shared" si="9"/>
        <v>2012</v>
      </c>
      <c r="DQ4">
        <f t="shared" si="9"/>
        <v>2013</v>
      </c>
      <c r="DR4">
        <f t="shared" si="9"/>
        <v>2014</v>
      </c>
      <c r="DS4">
        <f t="shared" si="9"/>
        <v>2015</v>
      </c>
      <c r="DT4">
        <f t="shared" si="9"/>
        <v>2016</v>
      </c>
      <c r="DU4">
        <f t="shared" si="9"/>
        <v>2017</v>
      </c>
      <c r="DV4">
        <f t="shared" si="9"/>
        <v>2018</v>
      </c>
      <c r="DW4">
        <f t="shared" si="9"/>
        <v>2019</v>
      </c>
      <c r="DX4">
        <f t="shared" si="9"/>
        <v>2020</v>
      </c>
      <c r="DY4">
        <f t="shared" si="9"/>
        <v>2021</v>
      </c>
      <c r="DZ4">
        <f t="shared" si="9"/>
        <v>2022</v>
      </c>
      <c r="EA4">
        <f t="shared" si="9"/>
        <v>2023</v>
      </c>
      <c r="EB4">
        <f t="shared" si="9"/>
        <v>2024</v>
      </c>
      <c r="EC4">
        <f t="shared" si="9"/>
        <v>2025</v>
      </c>
      <c r="ED4">
        <f t="shared" si="9"/>
        <v>2026</v>
      </c>
      <c r="EE4">
        <f t="shared" si="9"/>
        <v>2027</v>
      </c>
      <c r="EF4">
        <f t="shared" si="9"/>
        <v>2028</v>
      </c>
      <c r="EG4">
        <f t="shared" si="9"/>
        <v>2029</v>
      </c>
      <c r="EH4">
        <f t="shared" si="9"/>
        <v>2030</v>
      </c>
      <c r="EI4">
        <f t="shared" si="9"/>
        <v>2031</v>
      </c>
      <c r="EJ4">
        <f t="shared" si="9"/>
        <v>2040</v>
      </c>
      <c r="EK4">
        <f t="shared" si="9"/>
        <v>2050</v>
      </c>
    </row>
    <row r="5" spans="1:141" x14ac:dyDescent="0.25">
      <c r="A5" t="str">
        <f>B5&amp;C5</f>
        <v>IndustryANG</v>
      </c>
      <c r="B5" t="s">
        <v>145</v>
      </c>
      <c r="C5" t="str">
        <f>IFERROR(VLOOKUP(D5,PoolPlan_EnergyProj!$C$89:$D$100,2,FALSE),C4)</f>
        <v>ANG</v>
      </c>
      <c r="D5" t="s">
        <v>146</v>
      </c>
      <c r="E5" s="91">
        <v>0.3</v>
      </c>
      <c r="F5" s="91">
        <v>0.35</v>
      </c>
      <c r="G5" s="91">
        <v>0.4</v>
      </c>
      <c r="H5" s="91">
        <v>0.45</v>
      </c>
      <c r="I5" s="91">
        <v>0.5</v>
      </c>
      <c r="K5" s="91">
        <f>E5</f>
        <v>0.3</v>
      </c>
      <c r="L5" s="91">
        <f>($P5-$K5)/($P$4-$K$4)+K5</f>
        <v>0.31</v>
      </c>
      <c r="M5" s="91">
        <f t="shared" ref="M5:O5" si="10">($P5-$K5)/($P$4-$K$4)+L5</f>
        <v>0.32</v>
      </c>
      <c r="N5" s="91">
        <f t="shared" si="10"/>
        <v>0.33</v>
      </c>
      <c r="O5" s="91">
        <f t="shared" si="10"/>
        <v>0.34</v>
      </c>
      <c r="P5" s="91">
        <f>F5</f>
        <v>0.35</v>
      </c>
      <c r="Q5" s="91">
        <f>($U5-$P5)/($U$4-$P$4)+P5</f>
        <v>0.36</v>
      </c>
      <c r="R5" s="91">
        <f t="shared" ref="R5:T5" si="11">($U5-$P5)/($U$4-$P$4)+Q5</f>
        <v>0.37</v>
      </c>
      <c r="S5" s="91">
        <f t="shared" si="11"/>
        <v>0.38</v>
      </c>
      <c r="T5" s="91">
        <f t="shared" si="11"/>
        <v>0.39</v>
      </c>
      <c r="U5" s="91">
        <f>G5</f>
        <v>0.4</v>
      </c>
      <c r="V5" s="91">
        <f>(AE5-U5)/(AE$4-U$4)+U5</f>
        <v>0.40500000000000003</v>
      </c>
      <c r="W5" s="91">
        <f>(AE5-U5)/(AE$4-U$4)+V5</f>
        <v>0.41000000000000003</v>
      </c>
      <c r="X5" s="91">
        <f>(AE5-U5)/(AE$4-U$4)+W5</f>
        <v>0.41500000000000004</v>
      </c>
      <c r="Y5" s="91">
        <f>(AE5-U5)/(AE$4-U$4)+X5</f>
        <v>0.42000000000000004</v>
      </c>
      <c r="Z5" s="91">
        <f>(AE5-U5)/(AE$4-U$4)+Y5</f>
        <v>0.42500000000000004</v>
      </c>
      <c r="AA5" s="91">
        <f>(AE5-U5)/(AE$4-U$4)+Z5</f>
        <v>0.43000000000000005</v>
      </c>
      <c r="AB5" s="91">
        <f>(AE5-U5)/(AE$4-U$4)+AA5</f>
        <v>0.43500000000000005</v>
      </c>
      <c r="AC5" s="91">
        <f>(AE5-U5)/(AE$4-U$4)+AB5</f>
        <v>0.44000000000000006</v>
      </c>
      <c r="AD5" s="91">
        <f>(AE5-U5)/(AE$4-U$4)+AC5</f>
        <v>0.44500000000000006</v>
      </c>
      <c r="AE5" s="91">
        <f>H5</f>
        <v>0.45</v>
      </c>
      <c r="AF5" s="91">
        <f>(AH5-AE5)/(AH$4-AE$4)+AE5</f>
        <v>0.45250000000000001</v>
      </c>
      <c r="AG5" s="91">
        <f>(AE5+AH5)/2</f>
        <v>0.47499999999999998</v>
      </c>
      <c r="AH5" s="91">
        <f>I5</f>
        <v>0.5</v>
      </c>
      <c r="AJ5" s="94">
        <f>SUMIF(AR2008_Stats!$A$18:$A$29,C5,AR2008_Stats!$T$18:$T$29)</f>
        <v>0.1925</v>
      </c>
      <c r="AK5" s="91">
        <f>SUMIF(AR2008_Stats!$A$18:$A$29,C5,AR2008_Stats!$R$18:$R$29)</f>
        <v>0.05</v>
      </c>
      <c r="AL5" s="83">
        <v>0.02</v>
      </c>
      <c r="AM5" s="91">
        <f>AL5</f>
        <v>0.02</v>
      </c>
      <c r="AN5" s="91">
        <v>0.01</v>
      </c>
      <c r="AO5" s="91">
        <v>0.01</v>
      </c>
      <c r="AP5" s="95" t="str">
        <f>AQ5&amp;" "&amp;AR5&amp;" "&amp;AS5&amp;" "&amp;AT5&amp;" "&amp;AU5&amp;" "&amp;AV5&amp;" "&amp;AW5&amp;" "&amp;AX5&amp;" "&amp;AY5&amp;" "&amp;AZ5&amp;" "&amp;BA5&amp;" "&amp;BB5&amp;" "&amp;BC5&amp;" "&amp;BD5&amp;" "&amp;BE5&amp;" "&amp;BF5&amp;" "&amp;BG5&amp;" "&amp;BH5&amp;" "&amp;BI5&amp;" "&amp;BJ5&amp;" "&amp;BK5&amp;" "&amp;BL5&amp;" "&amp;BM5&amp;" "&amp;BN5&amp;" "</f>
        <v xml:space="preserve">0.02 0.02 0.02 0.02 0.02 0.02 0.02 0.02 0.02 0.02 0.02 0.019 0.018 0.017 0.016 0.015 0.014 0.013 0.012 0.011 0.01 0.01 0.01 0.01 </v>
      </c>
      <c r="AQ5" s="91">
        <f>AL5</f>
        <v>0.02</v>
      </c>
      <c r="AR5" s="91">
        <f>(BA5-AQ5)/(BA$4-AQ$4)+AQ5</f>
        <v>0.02</v>
      </c>
      <c r="AS5" s="91">
        <f>(BA5-AQ5)/(BA$4-AQ$4)+AR5</f>
        <v>0.02</v>
      </c>
      <c r="AT5" s="91">
        <f>(BA5-AQ5)/(BA$4-AQ$4)+AS5</f>
        <v>0.02</v>
      </c>
      <c r="AU5" s="91">
        <f>(BA5-AQ5)/(BA$4-AQ$4)+AT5</f>
        <v>0.02</v>
      </c>
      <c r="AV5" s="91">
        <f>(BA5-AQ5)/(BA$4-AQ$4)+AU5</f>
        <v>0.02</v>
      </c>
      <c r="AW5" s="91">
        <f>(BA5-AQ5)/(BA$4-AQ$4)+AV5</f>
        <v>0.02</v>
      </c>
      <c r="AX5" s="91">
        <f>(BA5-AQ5)/(BA$4-AQ$4)+AW5</f>
        <v>0.02</v>
      </c>
      <c r="AY5" s="91">
        <f>(BA5-AQ5)/(BA$4-AQ$4)+AX5</f>
        <v>0.02</v>
      </c>
      <c r="AZ5" s="91">
        <f>(BA5-AQ5)/(BA$4-AQ$4)+AY5</f>
        <v>0.02</v>
      </c>
      <c r="BA5" s="91">
        <f>AM5</f>
        <v>0.02</v>
      </c>
      <c r="BB5" s="91">
        <f>(BK5-BA5)/(BK$4-BA$4)+BA5</f>
        <v>1.9E-2</v>
      </c>
      <c r="BC5" s="91">
        <f>(BK5-BA5)/(BK$4-BA$4)+BB5</f>
        <v>1.7999999999999999E-2</v>
      </c>
      <c r="BD5" s="91">
        <f>(BK5-BA5)/(BK$4-BA$4)+BC5</f>
        <v>1.6999999999999998E-2</v>
      </c>
      <c r="BE5" s="91">
        <f>(BK5-BA5)/(BK$4-BA$4)+BD5</f>
        <v>1.5999999999999997E-2</v>
      </c>
      <c r="BF5" s="91">
        <f>(BK5-BA5)/(BK$4-BA$4)+BE5</f>
        <v>1.4999999999999996E-2</v>
      </c>
      <c r="BG5" s="91">
        <f>(BK5-BA5)/(BK$4-BA$4)+BF5</f>
        <v>1.3999999999999995E-2</v>
      </c>
      <c r="BH5" s="91">
        <f>(BK5-BA5)/(BK$4-BA$4)+BG5</f>
        <v>1.2999999999999994E-2</v>
      </c>
      <c r="BI5" s="91">
        <f>(BK5-BA5)/(BK$4-BA$4)+BH5</f>
        <v>1.1999999999999993E-2</v>
      </c>
      <c r="BJ5" s="91">
        <f>(BK5-BA5)/(BK$4-BA$4)+BI5</f>
        <v>1.0999999999999992E-2</v>
      </c>
      <c r="BK5" s="91">
        <f>AN5</f>
        <v>0.01</v>
      </c>
      <c r="BL5" s="91">
        <f>(BN5-BK5)/(BN$4-BK$4)+BK5</f>
        <v>0.01</v>
      </c>
      <c r="BM5" s="91">
        <f>(BK5+BN5)/2</f>
        <v>0.01</v>
      </c>
      <c r="BN5" s="91">
        <f>AO5</f>
        <v>0.01</v>
      </c>
      <c r="BP5" s="17">
        <f ca="1">K5*K8</f>
        <v>1902.8999999999999</v>
      </c>
      <c r="BQ5" s="17">
        <f t="shared" ref="BQ5:CM5" ca="1" si="12">L5*L8</f>
        <v>2147.9899999999998</v>
      </c>
      <c r="BR5" s="17">
        <f t="shared" ca="1" si="12"/>
        <v>2405.12</v>
      </c>
      <c r="BS5" s="17">
        <f t="shared" ca="1" si="12"/>
        <v>2680.26</v>
      </c>
      <c r="BT5" s="17">
        <f t="shared" ca="1" si="12"/>
        <v>2982.48</v>
      </c>
      <c r="BU5" s="17">
        <f t="shared" ca="1" si="12"/>
        <v>3302.95</v>
      </c>
      <c r="BV5" s="17">
        <f t="shared" ca="1" si="12"/>
        <v>3611.52</v>
      </c>
      <c r="BW5" s="17">
        <f t="shared" ca="1" si="12"/>
        <v>3943.46</v>
      </c>
      <c r="BX5" s="17">
        <f t="shared" ca="1" si="12"/>
        <v>4300.08</v>
      </c>
      <c r="BY5" s="17">
        <f t="shared" ca="1" si="12"/>
        <v>4683.12</v>
      </c>
      <c r="BZ5" s="17">
        <f t="shared" ca="1" si="12"/>
        <v>5069.6000000000004</v>
      </c>
      <c r="CA5" s="17">
        <f t="shared" ca="1" si="12"/>
        <v>5412.42</v>
      </c>
      <c r="CB5" s="17">
        <f t="shared" ca="1" si="12"/>
        <v>5771.5700000000006</v>
      </c>
      <c r="CC5" s="17">
        <f t="shared" ca="1" si="12"/>
        <v>6146.9800000000005</v>
      </c>
      <c r="CD5" s="17">
        <f t="shared" ca="1" si="12"/>
        <v>6538.56</v>
      </c>
      <c r="CE5" s="17">
        <f t="shared" ca="1" si="12"/>
        <v>6946.6250000000009</v>
      </c>
      <c r="CF5" s="17">
        <f t="shared" ca="1" si="12"/>
        <v>7334.1214783093692</v>
      </c>
      <c r="CG5" s="17">
        <f t="shared" ca="1" si="12"/>
        <v>7722.0604934297417</v>
      </c>
      <c r="CH5" s="17">
        <f t="shared" ca="1" si="12"/>
        <v>8133.6541749896414</v>
      </c>
      <c r="CI5" s="17">
        <f t="shared" ca="1" si="12"/>
        <v>8600.770299107975</v>
      </c>
      <c r="CJ5" s="17">
        <f t="shared" ca="1" si="12"/>
        <v>9132.1579609825512</v>
      </c>
      <c r="CK5" s="17">
        <f t="shared" ca="1" si="12"/>
        <v>9149.0151191359946</v>
      </c>
      <c r="CL5" s="17">
        <f t="shared" ca="1" si="12"/>
        <v>12587.32452972686</v>
      </c>
      <c r="CM5" s="17">
        <f t="shared" ca="1" si="12"/>
        <v>14833.783268557085</v>
      </c>
      <c r="CN5" s="95" t="str">
        <f t="shared" ref="CN5:CN7" ca="1" si="13">CO5&amp;" "&amp;CP5&amp;" "&amp;CQ5&amp;" "&amp;CR5&amp;" "&amp;CS5&amp;" "&amp;CT5&amp;" "&amp;CU5&amp;" "&amp;CV5&amp;" "&amp;CW5&amp;" "&amp;CX5&amp;" "&amp;CY5&amp;" "&amp;CZ5&amp;" "&amp;DA5&amp;" "&amp;DB5&amp;" "&amp;DC5&amp;" "&amp;DD5&amp;" "&amp;DE5&amp;" "&amp;DF5&amp;" "&amp;DG5&amp;" "&amp;DH5&amp;" "&amp;DI5&amp;" "&amp;DJ5&amp;" "&amp;DK5&amp;" "&amp;DL5&amp;" "</f>
        <v xml:space="preserve">202.2 228.3 255.6 284.9 317 351 383.8 419.1 457 497.7 538.8 575.8 614.6 655.3 697.7 742 784.2 826.6 871.5 922.5 980.5 982.3 1351.4 1592.6 </v>
      </c>
      <c r="CO5" s="96">
        <f ca="1">ROUND(BP5*(1-AQ5)*(1-$AK5)/8.76*(1+CO$2),1)</f>
        <v>202.2</v>
      </c>
      <c r="CP5" s="96">
        <f t="shared" ref="CP5:DL5" ca="1" si="14">ROUND(BQ5*(1-AR5)*(1-$AK5)/8.76*(1+CP$2),1)</f>
        <v>228.3</v>
      </c>
      <c r="CQ5" s="96">
        <f t="shared" ca="1" si="14"/>
        <v>255.6</v>
      </c>
      <c r="CR5" s="96">
        <f t="shared" ca="1" si="14"/>
        <v>284.89999999999998</v>
      </c>
      <c r="CS5" s="96">
        <f t="shared" ca="1" si="14"/>
        <v>317</v>
      </c>
      <c r="CT5" s="96">
        <f t="shared" ca="1" si="14"/>
        <v>351</v>
      </c>
      <c r="CU5" s="96">
        <f t="shared" ca="1" si="14"/>
        <v>383.8</v>
      </c>
      <c r="CV5" s="96">
        <f t="shared" ca="1" si="14"/>
        <v>419.1</v>
      </c>
      <c r="CW5" s="96">
        <f t="shared" ca="1" si="14"/>
        <v>457</v>
      </c>
      <c r="CX5" s="96">
        <f t="shared" ca="1" si="14"/>
        <v>497.7</v>
      </c>
      <c r="CY5" s="96">
        <f t="shared" ca="1" si="14"/>
        <v>538.79999999999995</v>
      </c>
      <c r="CZ5" s="96">
        <f t="shared" ca="1" si="14"/>
        <v>575.79999999999995</v>
      </c>
      <c r="DA5" s="96">
        <f t="shared" ca="1" si="14"/>
        <v>614.6</v>
      </c>
      <c r="DB5" s="96">
        <f t="shared" ca="1" si="14"/>
        <v>655.29999999999995</v>
      </c>
      <c r="DC5" s="96">
        <f t="shared" ca="1" si="14"/>
        <v>697.7</v>
      </c>
      <c r="DD5" s="96">
        <f t="shared" ca="1" si="14"/>
        <v>742</v>
      </c>
      <c r="DE5" s="96">
        <f t="shared" ca="1" si="14"/>
        <v>784.2</v>
      </c>
      <c r="DF5" s="96">
        <f t="shared" ca="1" si="14"/>
        <v>826.6</v>
      </c>
      <c r="DG5" s="96">
        <f t="shared" ca="1" si="14"/>
        <v>871.5</v>
      </c>
      <c r="DH5" s="96">
        <f t="shared" ca="1" si="14"/>
        <v>922.5</v>
      </c>
      <c r="DI5" s="96">
        <f t="shared" ca="1" si="14"/>
        <v>980.5</v>
      </c>
      <c r="DJ5" s="96">
        <f t="shared" ca="1" si="14"/>
        <v>982.3</v>
      </c>
      <c r="DK5" s="96">
        <f t="shared" ca="1" si="14"/>
        <v>1351.4</v>
      </c>
      <c r="DL5" s="96">
        <f t="shared" ca="1" si="14"/>
        <v>1592.6</v>
      </c>
      <c r="DM5" s="95" t="str">
        <f t="shared" ref="DM5:DM7" si="15">DN5&amp;" "&amp;DO5&amp;" "&amp;DP5&amp;" "&amp;DQ5&amp;" "&amp;DR5&amp;" "&amp;DS5&amp;" "&amp;DT5&amp;" "&amp;DU5&amp;" "&amp;DV5&amp;" "&amp;DW5&amp;" "&amp;DX5&amp;" "&amp;DY5&amp;" "&amp;DZ5&amp;" "&amp;EA5&amp;" "&amp;EB5&amp;" "&amp;EC5&amp;" "&amp;ED5&amp;" "&amp;EE5&amp;" "&amp;EF5&amp;" "&amp;EG5&amp;" "&amp;EH5&amp;" "&amp;EI5&amp;" "&amp;EJ5&amp;" "&amp;EK5&amp;" "</f>
        <v xml:space="preserve">0.98 0.98 0.98 0.98 0.98 0.98 0.98 0.98 0.98 0.98 0.98 0.981 0.982 0.983 0.984 0.985 0.986 0.987 0.988 0.989 0.99 0.99 0.99 0.99 </v>
      </c>
      <c r="DN5" s="91">
        <f>1-AQ5</f>
        <v>0.98</v>
      </c>
      <c r="DO5" s="91">
        <f t="shared" ref="DO5:EK7" si="16">1-AR5</f>
        <v>0.98</v>
      </c>
      <c r="DP5" s="91">
        <f t="shared" si="16"/>
        <v>0.98</v>
      </c>
      <c r="DQ5" s="91">
        <f t="shared" si="16"/>
        <v>0.98</v>
      </c>
      <c r="DR5" s="91">
        <f t="shared" si="16"/>
        <v>0.98</v>
      </c>
      <c r="DS5" s="91">
        <f t="shared" si="16"/>
        <v>0.98</v>
      </c>
      <c r="DT5" s="91">
        <f t="shared" si="16"/>
        <v>0.98</v>
      </c>
      <c r="DU5" s="91">
        <f t="shared" si="16"/>
        <v>0.98</v>
      </c>
      <c r="DV5" s="91">
        <f t="shared" si="16"/>
        <v>0.98</v>
      </c>
      <c r="DW5" s="91">
        <f t="shared" si="16"/>
        <v>0.98</v>
      </c>
      <c r="DX5" s="91">
        <f t="shared" si="16"/>
        <v>0.98</v>
      </c>
      <c r="DY5" s="91">
        <f t="shared" si="16"/>
        <v>0.98099999999999998</v>
      </c>
      <c r="DZ5" s="91">
        <f t="shared" si="16"/>
        <v>0.98199999999999998</v>
      </c>
      <c r="EA5" s="91">
        <f t="shared" si="16"/>
        <v>0.98299999999999998</v>
      </c>
      <c r="EB5" s="91">
        <f t="shared" si="16"/>
        <v>0.98399999999999999</v>
      </c>
      <c r="EC5" s="91">
        <f t="shared" si="16"/>
        <v>0.98499999999999999</v>
      </c>
      <c r="ED5" s="91">
        <f t="shared" si="16"/>
        <v>0.98599999999999999</v>
      </c>
      <c r="EE5" s="91">
        <f t="shared" si="16"/>
        <v>0.98699999999999999</v>
      </c>
      <c r="EF5" s="91">
        <f t="shared" si="16"/>
        <v>0.98799999999999999</v>
      </c>
      <c r="EG5" s="91">
        <f t="shared" si="16"/>
        <v>0.98899999999999999</v>
      </c>
      <c r="EH5" s="91">
        <f t="shared" si="16"/>
        <v>0.99</v>
      </c>
      <c r="EI5" s="91">
        <f t="shared" si="16"/>
        <v>0.99</v>
      </c>
      <c r="EJ5" s="91">
        <f t="shared" si="16"/>
        <v>0.99</v>
      </c>
      <c r="EK5" s="91">
        <f t="shared" si="16"/>
        <v>0.99</v>
      </c>
    </row>
    <row r="6" spans="1:141" x14ac:dyDescent="0.25">
      <c r="A6" t="str">
        <f t="shared" ref="A6:A63" si="17">B6&amp;C6</f>
        <v>UrbanANG</v>
      </c>
      <c r="B6" t="s">
        <v>147</v>
      </c>
      <c r="C6" t="str">
        <f>IFERROR(VLOOKUP(D6,PoolPlan_EnergyProj!$C$89:$D$100,2,FALSE),C5)</f>
        <v>ANG</v>
      </c>
      <c r="D6" t="s">
        <v>148</v>
      </c>
      <c r="E6" s="91">
        <f>1-E5-E7</f>
        <v>0.67999999999999994</v>
      </c>
      <c r="F6" s="91">
        <f>1-F5-F7</f>
        <v>0.62</v>
      </c>
      <c r="G6" s="91">
        <f t="shared" ref="G6:I6" si="18">1-G5-G7</f>
        <v>0.54999999999999993</v>
      </c>
      <c r="H6" s="91">
        <f t="shared" si="18"/>
        <v>0.5</v>
      </c>
      <c r="I6" s="91">
        <f t="shared" si="18"/>
        <v>0.45</v>
      </c>
      <c r="K6" s="91">
        <f t="shared" ref="K6:K7" si="19">E6</f>
        <v>0.67999999999999994</v>
      </c>
      <c r="L6" s="91">
        <f t="shared" ref="L6:O7" si="20">($P6-$K6)/($P$4-$K$4)+K6</f>
        <v>0.66799999999999993</v>
      </c>
      <c r="M6" s="91">
        <f t="shared" si="20"/>
        <v>0.65599999999999992</v>
      </c>
      <c r="N6" s="91">
        <f t="shared" si="20"/>
        <v>0.64399999999999991</v>
      </c>
      <c r="O6" s="91">
        <f t="shared" si="20"/>
        <v>0.6319999999999999</v>
      </c>
      <c r="P6" s="91">
        <f t="shared" ref="P6:P7" si="21">F6</f>
        <v>0.62</v>
      </c>
      <c r="Q6" s="91">
        <f t="shared" ref="Q6:T7" si="22">($U6-$P6)/($U$4-$P$4)+P6</f>
        <v>0.60599999999999998</v>
      </c>
      <c r="R6" s="91">
        <f t="shared" si="22"/>
        <v>0.59199999999999997</v>
      </c>
      <c r="S6" s="91">
        <f t="shared" si="22"/>
        <v>0.57799999999999996</v>
      </c>
      <c r="T6" s="91">
        <f t="shared" si="22"/>
        <v>0.56399999999999995</v>
      </c>
      <c r="U6" s="91">
        <f t="shared" ref="U6:U7" si="23">G6</f>
        <v>0.54999999999999993</v>
      </c>
      <c r="V6" s="91">
        <f t="shared" ref="V6:V7" si="24">(AE6-U6)/(AE$4-U$4)+U6</f>
        <v>0.54499999999999993</v>
      </c>
      <c r="W6" s="91">
        <f t="shared" ref="W6:W7" si="25">(AE6-U6)/(AE$4-U$4)+V6</f>
        <v>0.53999999999999992</v>
      </c>
      <c r="X6" s="91">
        <f t="shared" ref="X6:X7" si="26">(AE6-U6)/(AE$4-U$4)+W6</f>
        <v>0.53499999999999992</v>
      </c>
      <c r="Y6" s="91">
        <f t="shared" ref="Y6:Y7" si="27">(AE6-U6)/(AE$4-U$4)+X6</f>
        <v>0.52999999999999992</v>
      </c>
      <c r="Z6" s="91">
        <f t="shared" ref="Z6:Z7" si="28">(AE6-U6)/(AE$4-U$4)+Y6</f>
        <v>0.52499999999999991</v>
      </c>
      <c r="AA6" s="91">
        <f t="shared" ref="AA6:AA7" si="29">(AE6-U6)/(AE$4-U$4)+Z6</f>
        <v>0.51999999999999991</v>
      </c>
      <c r="AB6" s="91">
        <f t="shared" ref="AB6:AB7" si="30">(AE6-U6)/(AE$4-U$4)+AA6</f>
        <v>0.5149999999999999</v>
      </c>
      <c r="AC6" s="91">
        <f t="shared" ref="AC6:AC7" si="31">(AE6-U6)/(AE$4-U$4)+AB6</f>
        <v>0.5099999999999999</v>
      </c>
      <c r="AD6" s="91">
        <f t="shared" ref="AD6:AD7" si="32">(AE6-U6)/(AE$4-U$4)+AC6</f>
        <v>0.50499999999999989</v>
      </c>
      <c r="AE6" s="91">
        <f t="shared" ref="AE6:AE7" si="33">H6</f>
        <v>0.5</v>
      </c>
      <c r="AF6" s="91">
        <f>(AH6-AE6)/(AH$4-AE$4)+AE6</f>
        <v>0.4975</v>
      </c>
      <c r="AG6" s="91">
        <f t="shared" ref="AG6:AG7" si="34">(AE6+AH6)/2</f>
        <v>0.47499999999999998</v>
      </c>
      <c r="AH6" s="91">
        <f>I6</f>
        <v>0.45</v>
      </c>
      <c r="AJ6" s="91" t="s">
        <v>149</v>
      </c>
      <c r="AK6" s="91">
        <f>AK5</f>
        <v>0.05</v>
      </c>
      <c r="AL6" s="97">
        <v>0.2</v>
      </c>
      <c r="AM6" s="91">
        <v>0.15</v>
      </c>
      <c r="AN6" s="91">
        <v>0.08</v>
      </c>
      <c r="AO6" s="91">
        <f>AN6</f>
        <v>0.08</v>
      </c>
      <c r="AP6" s="95" t="str">
        <f>AQ6&amp;" "&amp;AR6&amp;" "&amp;AS6&amp;" "&amp;AT6&amp;" "&amp;AU6&amp;" "&amp;AV6&amp;" "&amp;AW6&amp;" "&amp;AX6&amp;" "&amp;AY6&amp;" "&amp;AZ6&amp;" "&amp;BA6&amp;" "&amp;BB6&amp;" "&amp;BC6&amp;" "&amp;BD6&amp;" "&amp;BE6&amp;" "&amp;BF6&amp;" "&amp;BG6&amp;" "&amp;BH6&amp;" "&amp;BI6&amp;" "&amp;BJ6&amp;" "&amp;BK6&amp;" "&amp;BL6&amp;" "&amp;BM6&amp;" "&amp;BN6&amp;" "</f>
        <v xml:space="preserve">0.2 0.195 0.19 0.185 0.18 0.175 0.17 0.165 0.16 0.155 0.15 0.143 0.136 0.129 0.122 0.115 0.108 0.101 0.0939999999999999 0.0869999999999999 0.08 0.08 0.08 0.08 </v>
      </c>
      <c r="AQ6" s="91">
        <f t="shared" ref="AQ6:AQ7" si="35">AL6</f>
        <v>0.2</v>
      </c>
      <c r="AR6" s="91">
        <f t="shared" ref="AR6:AR7" si="36">(BA6-AQ6)/(BA$4-AQ$4)+AQ6</f>
        <v>0.19500000000000001</v>
      </c>
      <c r="AS6" s="91">
        <f t="shared" ref="AS6:AS7" si="37">(BA6-AQ6)/(BA$4-AQ$4)+AR6</f>
        <v>0.19</v>
      </c>
      <c r="AT6" s="91">
        <f t="shared" ref="AT6:AT7" si="38">(BA6-AQ6)/(BA$4-AQ$4)+AS6</f>
        <v>0.185</v>
      </c>
      <c r="AU6" s="91">
        <f t="shared" ref="AU6:AU7" si="39">(BA6-AQ6)/(BA$4-AQ$4)+AT6</f>
        <v>0.18</v>
      </c>
      <c r="AV6" s="91">
        <f t="shared" ref="AV6:AV7" si="40">(BA6-AQ6)/(BA$4-AQ$4)+AU6</f>
        <v>0.17499999999999999</v>
      </c>
      <c r="AW6" s="91">
        <f t="shared" ref="AW6:AW7" si="41">(BA6-AQ6)/(BA$4-AQ$4)+AV6</f>
        <v>0.16999999999999998</v>
      </c>
      <c r="AX6" s="91">
        <f t="shared" ref="AX6:AX7" si="42">(BA6-AQ6)/(BA$4-AQ$4)+AW6</f>
        <v>0.16499999999999998</v>
      </c>
      <c r="AY6" s="91">
        <f t="shared" ref="AY6:AY7" si="43">(BA6-AQ6)/(BA$4-AQ$4)+AX6</f>
        <v>0.15999999999999998</v>
      </c>
      <c r="AZ6" s="91">
        <f t="shared" ref="AZ6:AZ7" si="44">(BA6-AQ6)/(BA$4-AQ$4)+AY6</f>
        <v>0.15499999999999997</v>
      </c>
      <c r="BA6" s="91">
        <f t="shared" ref="BA6:BA7" si="45">AM6</f>
        <v>0.15</v>
      </c>
      <c r="BB6" s="91">
        <f t="shared" ref="BB6:BB7" si="46">(BK6-BA6)/(BK$4-BA$4)+BA6</f>
        <v>0.14299999999999999</v>
      </c>
      <c r="BC6" s="91">
        <f t="shared" ref="BC6:BC7" si="47">(BK6-BA6)/(BK$4-BA$4)+BB6</f>
        <v>0.13599999999999998</v>
      </c>
      <c r="BD6" s="91">
        <f t="shared" ref="BD6:BD7" si="48">(BK6-BA6)/(BK$4-BA$4)+BC6</f>
        <v>0.12899999999999998</v>
      </c>
      <c r="BE6" s="91">
        <f t="shared" ref="BE6:BE7" si="49">(BK6-BA6)/(BK$4-BA$4)+BD6</f>
        <v>0.12199999999999997</v>
      </c>
      <c r="BF6" s="91">
        <f t="shared" ref="BF6:BF7" si="50">(BK6-BA6)/(BK$4-BA$4)+BE6</f>
        <v>0.11499999999999996</v>
      </c>
      <c r="BG6" s="91">
        <f t="shared" ref="BG6:BG7" si="51">(BK6-BA6)/(BK$4-BA$4)+BF6</f>
        <v>0.10799999999999996</v>
      </c>
      <c r="BH6" s="91">
        <f t="shared" ref="BH6:BH7" si="52">(BK6-BA6)/(BK$4-BA$4)+BG6</f>
        <v>0.10099999999999995</v>
      </c>
      <c r="BI6" s="91">
        <f t="shared" ref="BI6:BI7" si="53">(BK6-BA6)/(BK$4-BA$4)+BH6</f>
        <v>9.3999999999999945E-2</v>
      </c>
      <c r="BJ6" s="91">
        <f t="shared" ref="BJ6:BJ7" si="54">(BK6-BA6)/(BK$4-BA$4)+BI6</f>
        <v>8.6999999999999938E-2</v>
      </c>
      <c r="BK6" s="91">
        <f t="shared" ref="BK6:BK7" si="55">AN6</f>
        <v>0.08</v>
      </c>
      <c r="BL6" s="91">
        <f>(BN6-BK6)/(BN$4-BK$4)+BK6</f>
        <v>0.08</v>
      </c>
      <c r="BM6" s="91">
        <f t="shared" ref="BM6:BM7" si="56">(BK6+BN6)/2</f>
        <v>0.08</v>
      </c>
      <c r="BN6" s="91">
        <f>AO6</f>
        <v>0.08</v>
      </c>
      <c r="BP6" s="17">
        <f ca="1">K6*K8</f>
        <v>4313.24</v>
      </c>
      <c r="BQ6" s="17">
        <f t="shared" ref="BQ6:CM6" ca="1" si="57">L6*L8</f>
        <v>4628.5719999999992</v>
      </c>
      <c r="BR6" s="17">
        <f t="shared" ca="1" si="57"/>
        <v>4930.4959999999992</v>
      </c>
      <c r="BS6" s="17">
        <f t="shared" ca="1" si="57"/>
        <v>5230.5679999999993</v>
      </c>
      <c r="BT6" s="17">
        <f t="shared" ca="1" si="57"/>
        <v>5543.9039999999986</v>
      </c>
      <c r="BU6" s="17">
        <f t="shared" ca="1" si="57"/>
        <v>5850.94</v>
      </c>
      <c r="BV6" s="17">
        <f t="shared" ca="1" si="57"/>
        <v>6079.3919999999998</v>
      </c>
      <c r="BW6" s="17">
        <f t="shared" ca="1" si="57"/>
        <v>6309.5360000000001</v>
      </c>
      <c r="BX6" s="17">
        <f t="shared" ca="1" si="57"/>
        <v>6540.6479999999992</v>
      </c>
      <c r="BY6" s="17">
        <f t="shared" ca="1" si="57"/>
        <v>6772.5119999999997</v>
      </c>
      <c r="BZ6" s="17">
        <f t="shared" ca="1" si="57"/>
        <v>6970.6999999999989</v>
      </c>
      <c r="CA6" s="17">
        <f t="shared" ca="1" si="57"/>
        <v>7283.3799999999992</v>
      </c>
      <c r="CB6" s="17">
        <f t="shared" ca="1" si="57"/>
        <v>7601.579999999999</v>
      </c>
      <c r="CC6" s="17">
        <f t="shared" ca="1" si="57"/>
        <v>7924.4199999999992</v>
      </c>
      <c r="CD6" s="17">
        <f t="shared" ca="1" si="57"/>
        <v>8251.0399999999991</v>
      </c>
      <c r="CE6" s="17">
        <f t="shared" ca="1" si="57"/>
        <v>8581.1249999999982</v>
      </c>
      <c r="CF6" s="17">
        <f t="shared" ca="1" si="57"/>
        <v>8869.170159815978</v>
      </c>
      <c r="CG6" s="17">
        <f t="shared" ca="1" si="57"/>
        <v>9142.2095496926795</v>
      </c>
      <c r="CH6" s="17">
        <f t="shared" ca="1" si="57"/>
        <v>9427.6446119198081</v>
      </c>
      <c r="CI6" s="17">
        <f t="shared" ca="1" si="57"/>
        <v>9760.4247214596071</v>
      </c>
      <c r="CJ6" s="17">
        <f t="shared" ca="1" si="57"/>
        <v>10146.842178869501</v>
      </c>
      <c r="CK6" s="17">
        <f t="shared" ca="1" si="57"/>
        <v>10058.861926563883</v>
      </c>
      <c r="CL6" s="17">
        <f t="shared" ca="1" si="57"/>
        <v>12587.32452972686</v>
      </c>
      <c r="CM6" s="17">
        <f t="shared" ca="1" si="57"/>
        <v>13350.404941701376</v>
      </c>
      <c r="CN6" s="95" t="str">
        <f t="shared" ca="1" si="13"/>
        <v xml:space="preserve">374.2 404.1 433.1 462.3 493 523.5 547.2 571.4 595.8 620.6 642.6 676.9 712.3 748.5 785.6 823.6 858 891.3 926.3 966.4 1012.4 1003.6 1255.9 1332 </v>
      </c>
      <c r="CO6" s="96">
        <f ca="1">ROUND(BP6*(1-AQ6)*(1-$AK6)/8.76*(1+CO$2),1)</f>
        <v>374.2</v>
      </c>
      <c r="CP6" s="96">
        <f t="shared" ref="CP6:CP7" ca="1" si="58">ROUND(BQ6*(1-AR6)*(1-$AK6)/8.76*(1+CP$2),1)</f>
        <v>404.1</v>
      </c>
      <c r="CQ6" s="96">
        <f t="shared" ref="CQ6:CQ7" ca="1" si="59">ROUND(BR6*(1-AS6)*(1-$AK6)/8.76*(1+CQ$2),1)</f>
        <v>433.1</v>
      </c>
      <c r="CR6" s="96">
        <f t="shared" ref="CR6:CR7" ca="1" si="60">ROUND(BS6*(1-AT6)*(1-$AK6)/8.76*(1+CR$2),1)</f>
        <v>462.3</v>
      </c>
      <c r="CS6" s="96">
        <f t="shared" ref="CS6:CS7" ca="1" si="61">ROUND(BT6*(1-AU6)*(1-$AK6)/8.76*(1+CS$2),1)</f>
        <v>493</v>
      </c>
      <c r="CT6" s="96">
        <f t="shared" ref="CT6:CT7" ca="1" si="62">ROUND(BU6*(1-AV6)*(1-$AK6)/8.76*(1+CT$2),1)</f>
        <v>523.5</v>
      </c>
      <c r="CU6" s="96">
        <f t="shared" ref="CU6:CU7" ca="1" si="63">ROUND(BV6*(1-AW6)*(1-$AK6)/8.76*(1+CU$2),1)</f>
        <v>547.20000000000005</v>
      </c>
      <c r="CV6" s="96">
        <f t="shared" ref="CV6:CV7" ca="1" si="64">ROUND(BW6*(1-AX6)*(1-$AK6)/8.76*(1+CV$2),1)</f>
        <v>571.4</v>
      </c>
      <c r="CW6" s="96">
        <f t="shared" ref="CW6:CW7" ca="1" si="65">ROUND(BX6*(1-AY6)*(1-$AK6)/8.76*(1+CW$2),1)</f>
        <v>595.79999999999995</v>
      </c>
      <c r="CX6" s="96">
        <f t="shared" ref="CX6:CX7" ca="1" si="66">ROUND(BY6*(1-AZ6)*(1-$AK6)/8.76*(1+CX$2),1)</f>
        <v>620.6</v>
      </c>
      <c r="CY6" s="96">
        <f t="shared" ref="CY6:CY7" ca="1" si="67">ROUND(BZ6*(1-BA6)*(1-$AK6)/8.76*(1+CY$2),1)</f>
        <v>642.6</v>
      </c>
      <c r="CZ6" s="96">
        <f t="shared" ref="CZ6:CZ7" ca="1" si="68">ROUND(CA6*(1-BB6)*(1-$AK6)/8.76*(1+CZ$2),1)</f>
        <v>676.9</v>
      </c>
      <c r="DA6" s="96">
        <f t="shared" ref="DA6:DA7" ca="1" si="69">ROUND(CB6*(1-BC6)*(1-$AK6)/8.76*(1+DA$2),1)</f>
        <v>712.3</v>
      </c>
      <c r="DB6" s="96">
        <f t="shared" ref="DB6:DB7" ca="1" si="70">ROUND(CC6*(1-BD6)*(1-$AK6)/8.76*(1+DB$2),1)</f>
        <v>748.5</v>
      </c>
      <c r="DC6" s="96">
        <f t="shared" ref="DC6:DC7" ca="1" si="71">ROUND(CD6*(1-BE6)*(1-$AK6)/8.76*(1+DC$2),1)</f>
        <v>785.6</v>
      </c>
      <c r="DD6" s="96">
        <f t="shared" ref="DD6:DD7" ca="1" si="72">ROUND(CE6*(1-BF6)*(1-$AK6)/8.76*(1+DD$2),1)</f>
        <v>823.6</v>
      </c>
      <c r="DE6" s="96">
        <f t="shared" ref="DE6:DE7" ca="1" si="73">ROUND(CF6*(1-BG6)*(1-$AK6)/8.76*(1+DE$2),1)</f>
        <v>858</v>
      </c>
      <c r="DF6" s="96">
        <f t="shared" ref="DF6:DF7" ca="1" si="74">ROUND(CG6*(1-BH6)*(1-$AK6)/8.76*(1+DF$2),1)</f>
        <v>891.3</v>
      </c>
      <c r="DG6" s="96">
        <f t="shared" ref="DG6:DG7" ca="1" si="75">ROUND(CH6*(1-BI6)*(1-$AK6)/8.76*(1+DG$2),1)</f>
        <v>926.3</v>
      </c>
      <c r="DH6" s="96">
        <f t="shared" ref="DH6:DH7" ca="1" si="76">ROUND(CI6*(1-BJ6)*(1-$AK6)/8.76*(1+DH$2),1)</f>
        <v>966.4</v>
      </c>
      <c r="DI6" s="96">
        <f t="shared" ref="DI6:DI7" ca="1" si="77">ROUND(CJ6*(1-BK6)*(1-$AK6)/8.76*(1+DI$2),1)</f>
        <v>1012.4</v>
      </c>
      <c r="DJ6" s="96">
        <f t="shared" ref="DJ6:DJ7" ca="1" si="78">ROUND(CK6*(1-BL6)*(1-$AK6)/8.76*(1+DJ$2),1)</f>
        <v>1003.6</v>
      </c>
      <c r="DK6" s="96">
        <f t="shared" ref="DK6:DK7" ca="1" si="79">ROUND(CL6*(1-BM6)*(1-$AK6)/8.76*(1+DK$2),1)</f>
        <v>1255.9000000000001</v>
      </c>
      <c r="DL6" s="96">
        <f t="shared" ref="DL6:DL7" ca="1" si="80">ROUND(CM6*(1-BN6)*(1-$AK6)/8.76*(1+DL$2),1)</f>
        <v>1332</v>
      </c>
      <c r="DM6" s="95" t="str">
        <f t="shared" si="15"/>
        <v xml:space="preserve">0.8 0.805 0.81 0.815 0.82 0.825 0.83 0.835 0.84 0.845 0.85 0.857 0.864 0.871 0.878 0.885 0.892 0.899 0.906 0.913 0.92 0.92 0.92 0.92 </v>
      </c>
      <c r="DN6" s="91">
        <f t="shared" ref="DN6:DN7" si="81">1-AQ6</f>
        <v>0.8</v>
      </c>
      <c r="DO6" s="91">
        <f t="shared" si="16"/>
        <v>0.80499999999999994</v>
      </c>
      <c r="DP6" s="91">
        <f t="shared" si="16"/>
        <v>0.81</v>
      </c>
      <c r="DQ6" s="91">
        <f t="shared" si="16"/>
        <v>0.81499999999999995</v>
      </c>
      <c r="DR6" s="91">
        <f t="shared" si="16"/>
        <v>0.82000000000000006</v>
      </c>
      <c r="DS6" s="91">
        <f t="shared" si="16"/>
        <v>0.82499999999999996</v>
      </c>
      <c r="DT6" s="91">
        <f t="shared" si="16"/>
        <v>0.83000000000000007</v>
      </c>
      <c r="DU6" s="91">
        <f t="shared" si="16"/>
        <v>0.83499999999999996</v>
      </c>
      <c r="DV6" s="91">
        <f t="shared" si="16"/>
        <v>0.84000000000000008</v>
      </c>
      <c r="DW6" s="91">
        <f t="shared" si="16"/>
        <v>0.84499999999999997</v>
      </c>
      <c r="DX6" s="91">
        <f t="shared" si="16"/>
        <v>0.85</v>
      </c>
      <c r="DY6" s="91">
        <f t="shared" si="16"/>
        <v>0.85699999999999998</v>
      </c>
      <c r="DZ6" s="91">
        <f t="shared" si="16"/>
        <v>0.86399999999999999</v>
      </c>
      <c r="EA6" s="91">
        <f t="shared" si="16"/>
        <v>0.871</v>
      </c>
      <c r="EB6" s="91">
        <f t="shared" si="16"/>
        <v>0.878</v>
      </c>
      <c r="EC6" s="91">
        <f t="shared" si="16"/>
        <v>0.88500000000000001</v>
      </c>
      <c r="ED6" s="91">
        <f t="shared" si="16"/>
        <v>0.89200000000000002</v>
      </c>
      <c r="EE6" s="91">
        <f t="shared" si="16"/>
        <v>0.89900000000000002</v>
      </c>
      <c r="EF6" s="91">
        <f t="shared" si="16"/>
        <v>0.90600000000000003</v>
      </c>
      <c r="EG6" s="91">
        <f t="shared" si="16"/>
        <v>0.91300000000000003</v>
      </c>
      <c r="EH6" s="91">
        <f t="shared" si="16"/>
        <v>0.92</v>
      </c>
      <c r="EI6" s="91">
        <f t="shared" si="16"/>
        <v>0.92</v>
      </c>
      <c r="EJ6" s="91">
        <f t="shared" si="16"/>
        <v>0.92</v>
      </c>
      <c r="EK6" s="91">
        <f t="shared" si="16"/>
        <v>0.92</v>
      </c>
    </row>
    <row r="7" spans="1:141" x14ac:dyDescent="0.25">
      <c r="A7" t="str">
        <f t="shared" si="17"/>
        <v>RuralANG</v>
      </c>
      <c r="B7" t="s">
        <v>150</v>
      </c>
      <c r="C7" t="str">
        <f>IFERROR(VLOOKUP(D7,PoolPlan_EnergyProj!$C$89:$D$100,2,FALSE),C6)</f>
        <v>ANG</v>
      </c>
      <c r="D7" t="s">
        <v>150</v>
      </c>
      <c r="E7" s="91">
        <v>0.02</v>
      </c>
      <c r="F7" s="91">
        <v>0.03</v>
      </c>
      <c r="G7" s="91">
        <v>0.05</v>
      </c>
      <c r="H7" s="91">
        <v>0.05</v>
      </c>
      <c r="I7" s="91">
        <v>0.05</v>
      </c>
      <c r="K7" s="91">
        <f t="shared" si="19"/>
        <v>0.02</v>
      </c>
      <c r="L7" s="91">
        <f t="shared" si="20"/>
        <v>2.1999999999999999E-2</v>
      </c>
      <c r="M7" s="91">
        <f t="shared" si="20"/>
        <v>2.3999999999999997E-2</v>
      </c>
      <c r="N7" s="91">
        <f t="shared" si="20"/>
        <v>2.5999999999999995E-2</v>
      </c>
      <c r="O7" s="91">
        <f t="shared" si="20"/>
        <v>2.7999999999999994E-2</v>
      </c>
      <c r="P7" s="91">
        <f t="shared" si="21"/>
        <v>0.03</v>
      </c>
      <c r="Q7" s="91">
        <f t="shared" si="22"/>
        <v>3.4000000000000002E-2</v>
      </c>
      <c r="R7" s="91">
        <f t="shared" si="22"/>
        <v>3.8000000000000006E-2</v>
      </c>
      <c r="S7" s="91">
        <f t="shared" si="22"/>
        <v>4.200000000000001E-2</v>
      </c>
      <c r="T7" s="91">
        <f t="shared" si="22"/>
        <v>4.6000000000000013E-2</v>
      </c>
      <c r="U7" s="91">
        <f t="shared" si="23"/>
        <v>0.05</v>
      </c>
      <c r="V7" s="91">
        <f t="shared" si="24"/>
        <v>0.05</v>
      </c>
      <c r="W7" s="91">
        <f t="shared" si="25"/>
        <v>0.05</v>
      </c>
      <c r="X7" s="91">
        <f t="shared" si="26"/>
        <v>0.05</v>
      </c>
      <c r="Y7" s="91">
        <f t="shared" si="27"/>
        <v>0.05</v>
      </c>
      <c r="Z7" s="91">
        <f t="shared" si="28"/>
        <v>0.05</v>
      </c>
      <c r="AA7" s="91">
        <f t="shared" si="29"/>
        <v>0.05</v>
      </c>
      <c r="AB7" s="91">
        <f t="shared" si="30"/>
        <v>0.05</v>
      </c>
      <c r="AC7" s="91">
        <f t="shared" si="31"/>
        <v>0.05</v>
      </c>
      <c r="AD7" s="91">
        <f t="shared" si="32"/>
        <v>0.05</v>
      </c>
      <c r="AE7" s="91">
        <f t="shared" si="33"/>
        <v>0.05</v>
      </c>
      <c r="AF7" s="91">
        <f>(AH7-AE7)/(AH$4-AE$4)+AE7</f>
        <v>0.05</v>
      </c>
      <c r="AG7" s="91">
        <f t="shared" si="34"/>
        <v>0.05</v>
      </c>
      <c r="AH7" s="91">
        <f>I7</f>
        <v>0.05</v>
      </c>
      <c r="AJ7" s="98">
        <f>1-((1-AL7)*K7+(1-AL6)*K6+(1-AL5)*K5)*(1-AK5)</f>
        <v>0.19060000000000021</v>
      </c>
      <c r="AK7" s="91">
        <f>AK6</f>
        <v>0.05</v>
      </c>
      <c r="AL7" s="91">
        <v>0.3</v>
      </c>
      <c r="AM7" s="91">
        <v>0.2</v>
      </c>
      <c r="AN7" s="91">
        <v>0.2</v>
      </c>
      <c r="AO7" s="91">
        <f>AN7</f>
        <v>0.2</v>
      </c>
      <c r="AP7" s="95" t="str">
        <f>AQ7&amp;" "&amp;AR7&amp;" "&amp;AS7&amp;" "&amp;AT7&amp;" "&amp;AU7&amp;" "&amp;AV7&amp;" "&amp;AW7&amp;" "&amp;AX7&amp;" "&amp;AY7&amp;" "&amp;AZ7&amp;" "&amp;BA7&amp;" "&amp;BB7&amp;" "&amp;BC7&amp;" "&amp;BD7&amp;" "&amp;BE7&amp;" "&amp;BF7&amp;" "&amp;BG7&amp;" "&amp;BH7&amp;" "&amp;BI7&amp;" "&amp;BJ7&amp;" "&amp;BK7&amp;" "&amp;BL7&amp;" "&amp;BM7&amp;" "&amp;BN7&amp;" "</f>
        <v xml:space="preserve">0.3 0.29 0.28 0.27 0.26 0.25 0.24 0.23 0.22 0.21 0.2 0.2 0.2 0.2 0.2 0.2 0.2 0.2 0.2 0.2 0.2 0.2 0.2 0.2 </v>
      </c>
      <c r="AQ7" s="91">
        <f t="shared" si="35"/>
        <v>0.3</v>
      </c>
      <c r="AR7" s="91">
        <f t="shared" si="36"/>
        <v>0.28999999999999998</v>
      </c>
      <c r="AS7" s="91">
        <f t="shared" si="37"/>
        <v>0.27999999999999997</v>
      </c>
      <c r="AT7" s="91">
        <f t="shared" si="38"/>
        <v>0.26999999999999996</v>
      </c>
      <c r="AU7" s="91">
        <f t="shared" si="39"/>
        <v>0.25999999999999995</v>
      </c>
      <c r="AV7" s="91">
        <f t="shared" si="40"/>
        <v>0.24999999999999994</v>
      </c>
      <c r="AW7" s="91">
        <f t="shared" si="41"/>
        <v>0.23999999999999994</v>
      </c>
      <c r="AX7" s="91">
        <f t="shared" si="42"/>
        <v>0.22999999999999993</v>
      </c>
      <c r="AY7" s="91">
        <f t="shared" si="43"/>
        <v>0.21999999999999992</v>
      </c>
      <c r="AZ7" s="91">
        <f t="shared" si="44"/>
        <v>0.20999999999999991</v>
      </c>
      <c r="BA7" s="91">
        <f t="shared" si="45"/>
        <v>0.2</v>
      </c>
      <c r="BB7" s="91">
        <f t="shared" si="46"/>
        <v>0.2</v>
      </c>
      <c r="BC7" s="91">
        <f t="shared" si="47"/>
        <v>0.2</v>
      </c>
      <c r="BD7" s="91">
        <f t="shared" si="48"/>
        <v>0.2</v>
      </c>
      <c r="BE7" s="91">
        <f t="shared" si="49"/>
        <v>0.2</v>
      </c>
      <c r="BF7" s="91">
        <f t="shared" si="50"/>
        <v>0.2</v>
      </c>
      <c r="BG7" s="91">
        <f t="shared" si="51"/>
        <v>0.2</v>
      </c>
      <c r="BH7" s="91">
        <f t="shared" si="52"/>
        <v>0.2</v>
      </c>
      <c r="BI7" s="91">
        <f t="shared" si="53"/>
        <v>0.2</v>
      </c>
      <c r="BJ7" s="91">
        <f t="shared" si="54"/>
        <v>0.2</v>
      </c>
      <c r="BK7" s="91">
        <f t="shared" si="55"/>
        <v>0.2</v>
      </c>
      <c r="BL7" s="91">
        <f>(BN7-BK7)/(BN$4-BK$4)+BK7</f>
        <v>0.2</v>
      </c>
      <c r="BM7" s="91">
        <f t="shared" si="56"/>
        <v>0.2</v>
      </c>
      <c r="BN7" s="91">
        <f>AO7</f>
        <v>0.2</v>
      </c>
      <c r="BP7" s="17">
        <f ca="1">K7*K8</f>
        <v>126.86</v>
      </c>
      <c r="BQ7" s="17">
        <f t="shared" ref="BQ7:CM7" ca="1" si="82">L7*L8</f>
        <v>152.43799999999999</v>
      </c>
      <c r="BR7" s="17">
        <f t="shared" ca="1" si="82"/>
        <v>180.38399999999999</v>
      </c>
      <c r="BS7" s="17">
        <f t="shared" ca="1" si="82"/>
        <v>211.17199999999997</v>
      </c>
      <c r="BT7" s="17">
        <f t="shared" ca="1" si="82"/>
        <v>245.61599999999996</v>
      </c>
      <c r="BU7" s="17">
        <f t="shared" ca="1" si="82"/>
        <v>283.11</v>
      </c>
      <c r="BV7" s="17">
        <f t="shared" ca="1" si="82"/>
        <v>341.08800000000002</v>
      </c>
      <c r="BW7" s="17">
        <f t="shared" ca="1" si="82"/>
        <v>405.00400000000008</v>
      </c>
      <c r="BX7" s="17">
        <f t="shared" ca="1" si="82"/>
        <v>475.27200000000011</v>
      </c>
      <c r="BY7" s="17">
        <f t="shared" ca="1" si="82"/>
        <v>552.36800000000017</v>
      </c>
      <c r="BZ7" s="17">
        <f t="shared" ca="1" si="82"/>
        <v>633.70000000000005</v>
      </c>
      <c r="CA7" s="17">
        <f t="shared" ca="1" si="82"/>
        <v>668.2</v>
      </c>
      <c r="CB7" s="17">
        <f t="shared" ca="1" si="82"/>
        <v>703.85</v>
      </c>
      <c r="CC7" s="17">
        <f t="shared" ca="1" si="82"/>
        <v>740.6</v>
      </c>
      <c r="CD7" s="17">
        <f t="shared" ca="1" si="82"/>
        <v>778.40000000000009</v>
      </c>
      <c r="CE7" s="17">
        <f t="shared" ca="1" si="82"/>
        <v>817.25</v>
      </c>
      <c r="CF7" s="17">
        <f t="shared" ca="1" si="82"/>
        <v>852.80482305922897</v>
      </c>
      <c r="CG7" s="17">
        <f t="shared" ca="1" si="82"/>
        <v>887.59316016433809</v>
      </c>
      <c r="CH7" s="17">
        <f t="shared" ca="1" si="82"/>
        <v>924.27888352155014</v>
      </c>
      <c r="CI7" s="17">
        <f t="shared" ca="1" si="82"/>
        <v>966.37868529303068</v>
      </c>
      <c r="CJ7" s="17">
        <f t="shared" ca="1" si="82"/>
        <v>1014.6842178869501</v>
      </c>
      <c r="CK7" s="17">
        <f t="shared" ca="1" si="82"/>
        <v>1010.9408971420988</v>
      </c>
      <c r="CL7" s="17">
        <f t="shared" ca="1" si="82"/>
        <v>1324.9815294449327</v>
      </c>
      <c r="CM7" s="17">
        <f t="shared" ca="1" si="82"/>
        <v>1483.3783268557086</v>
      </c>
      <c r="CN7" s="95" t="str">
        <f t="shared" ca="1" si="13"/>
        <v xml:space="preserve">9.6 11.7 14.1 16.7 19.7 23 28.1 33.8 40.2 47.3 55 58 61.1 64.3 67.5 70.9 74 77 80.2 83.8 88 87.7 115 128.7 </v>
      </c>
      <c r="CO7" s="96">
        <f ca="1">ROUND(BP7*(1-AQ7)*(1-$AK7)/8.76*(1+CO$2),1)</f>
        <v>9.6</v>
      </c>
      <c r="CP7" s="96">
        <f t="shared" ca="1" si="58"/>
        <v>11.7</v>
      </c>
      <c r="CQ7" s="96">
        <f t="shared" ca="1" si="59"/>
        <v>14.1</v>
      </c>
      <c r="CR7" s="96">
        <f t="shared" ca="1" si="60"/>
        <v>16.7</v>
      </c>
      <c r="CS7" s="96">
        <f t="shared" ca="1" si="61"/>
        <v>19.7</v>
      </c>
      <c r="CT7" s="96">
        <f t="shared" ca="1" si="62"/>
        <v>23</v>
      </c>
      <c r="CU7" s="96">
        <f t="shared" ca="1" si="63"/>
        <v>28.1</v>
      </c>
      <c r="CV7" s="96">
        <f t="shared" ca="1" si="64"/>
        <v>33.799999999999997</v>
      </c>
      <c r="CW7" s="96">
        <f t="shared" ca="1" si="65"/>
        <v>40.200000000000003</v>
      </c>
      <c r="CX7" s="96">
        <f t="shared" ca="1" si="66"/>
        <v>47.3</v>
      </c>
      <c r="CY7" s="96">
        <f t="shared" ca="1" si="67"/>
        <v>55</v>
      </c>
      <c r="CZ7" s="96">
        <f t="shared" ca="1" si="68"/>
        <v>58</v>
      </c>
      <c r="DA7" s="96">
        <f t="shared" ca="1" si="69"/>
        <v>61.1</v>
      </c>
      <c r="DB7" s="96">
        <f t="shared" ca="1" si="70"/>
        <v>64.3</v>
      </c>
      <c r="DC7" s="96">
        <f t="shared" ca="1" si="71"/>
        <v>67.5</v>
      </c>
      <c r="DD7" s="96">
        <f t="shared" ca="1" si="72"/>
        <v>70.900000000000006</v>
      </c>
      <c r="DE7" s="96">
        <f t="shared" ca="1" si="73"/>
        <v>74</v>
      </c>
      <c r="DF7" s="96">
        <f t="shared" ca="1" si="74"/>
        <v>77</v>
      </c>
      <c r="DG7" s="96">
        <f t="shared" ca="1" si="75"/>
        <v>80.2</v>
      </c>
      <c r="DH7" s="96">
        <f t="shared" ca="1" si="76"/>
        <v>83.8</v>
      </c>
      <c r="DI7" s="96">
        <f t="shared" ca="1" si="77"/>
        <v>88</v>
      </c>
      <c r="DJ7" s="96">
        <f t="shared" ca="1" si="78"/>
        <v>87.7</v>
      </c>
      <c r="DK7" s="96">
        <f t="shared" ca="1" si="79"/>
        <v>115</v>
      </c>
      <c r="DL7" s="96">
        <f t="shared" ca="1" si="80"/>
        <v>128.69999999999999</v>
      </c>
      <c r="DM7" s="95" t="str">
        <f t="shared" si="15"/>
        <v xml:space="preserve">0.7 0.71 0.72 0.73 0.74 0.75 0.76 0.77 0.78 0.79 0.8 0.8 0.8 0.8 0.8 0.8 0.8 0.8 0.8 0.8 0.8 0.8 0.8 0.8 </v>
      </c>
      <c r="DN7" s="91">
        <f t="shared" si="81"/>
        <v>0.7</v>
      </c>
      <c r="DO7" s="91">
        <f t="shared" si="16"/>
        <v>0.71</v>
      </c>
      <c r="DP7" s="91">
        <f t="shared" si="16"/>
        <v>0.72</v>
      </c>
      <c r="DQ7" s="91">
        <f t="shared" si="16"/>
        <v>0.73</v>
      </c>
      <c r="DR7" s="91">
        <f t="shared" si="16"/>
        <v>0.74</v>
      </c>
      <c r="DS7" s="91">
        <f t="shared" si="16"/>
        <v>0.75</v>
      </c>
      <c r="DT7" s="91">
        <f t="shared" si="16"/>
        <v>0.76</v>
      </c>
      <c r="DU7" s="91">
        <f t="shared" si="16"/>
        <v>0.77</v>
      </c>
      <c r="DV7" s="91">
        <f t="shared" si="16"/>
        <v>0.78</v>
      </c>
      <c r="DW7" s="91">
        <f t="shared" si="16"/>
        <v>0.79</v>
      </c>
      <c r="DX7" s="91">
        <f t="shared" si="16"/>
        <v>0.8</v>
      </c>
      <c r="DY7" s="91">
        <f t="shared" si="16"/>
        <v>0.8</v>
      </c>
      <c r="DZ7" s="91">
        <f t="shared" si="16"/>
        <v>0.8</v>
      </c>
      <c r="EA7" s="91">
        <f t="shared" si="16"/>
        <v>0.8</v>
      </c>
      <c r="EB7" s="91">
        <f t="shared" si="16"/>
        <v>0.8</v>
      </c>
      <c r="EC7" s="91">
        <f t="shared" si="16"/>
        <v>0.8</v>
      </c>
      <c r="ED7" s="91">
        <f t="shared" si="16"/>
        <v>0.8</v>
      </c>
      <c r="EE7" s="91">
        <f t="shared" si="16"/>
        <v>0.8</v>
      </c>
      <c r="EF7" s="91">
        <f t="shared" si="16"/>
        <v>0.8</v>
      </c>
      <c r="EG7" s="91">
        <f t="shared" si="16"/>
        <v>0.8</v>
      </c>
      <c r="EH7" s="91">
        <f t="shared" si="16"/>
        <v>0.8</v>
      </c>
      <c r="EI7" s="91">
        <f t="shared" si="16"/>
        <v>0.8</v>
      </c>
      <c r="EJ7" s="91">
        <f t="shared" si="16"/>
        <v>0.8</v>
      </c>
      <c r="EK7" s="91">
        <f t="shared" si="16"/>
        <v>0.8</v>
      </c>
    </row>
    <row r="8" spans="1:141" x14ac:dyDescent="0.25">
      <c r="A8" t="str">
        <f t="shared" si="17"/>
        <v>ANG</v>
      </c>
      <c r="C8" t="str">
        <f>IFERROR(VLOOKUP(D8,PoolPlan_EnergyProj!$C$89:$D$100,2,FALSE),C7)</f>
        <v>ANG</v>
      </c>
      <c r="D8" t="s">
        <v>151</v>
      </c>
      <c r="K8" s="17">
        <f ca="1">OFFSET(PoolPlan_EnergyProj!$B$6,MATCH(K4,PoolPlan_EnergyProj!$B$7:$B$30),MATCH($C8,PoolPlan_EnergyProj!$C$1:$N$1,0))</f>
        <v>6343</v>
      </c>
      <c r="L8" s="17">
        <f ca="1">OFFSET(PoolPlan_EnergyProj!$B$6,MATCH(L4,PoolPlan_EnergyProj!$B$7:$B$30),MATCH($C8,PoolPlan_EnergyProj!$C$1:$N$1,0))</f>
        <v>6929</v>
      </c>
      <c r="M8" s="17">
        <f ca="1">OFFSET(PoolPlan_EnergyProj!$B$6,MATCH(M4,PoolPlan_EnergyProj!$B$7:$B$30),MATCH($C8,PoolPlan_EnergyProj!$C$1:$N$1,0))</f>
        <v>7516</v>
      </c>
      <c r="N8" s="17">
        <f ca="1">OFFSET(PoolPlan_EnergyProj!$B$6,MATCH(N4,PoolPlan_EnergyProj!$B$7:$B$30),MATCH($C8,PoolPlan_EnergyProj!$C$1:$N$1,0))</f>
        <v>8122</v>
      </c>
      <c r="O8" s="17">
        <f ca="1">OFFSET(PoolPlan_EnergyProj!$B$6,MATCH(O4,PoolPlan_EnergyProj!$B$7:$B$30),MATCH($C8,PoolPlan_EnergyProj!$C$1:$N$1,0))</f>
        <v>8772</v>
      </c>
      <c r="P8" s="17">
        <f ca="1">OFFSET(PoolPlan_EnergyProj!$B$6,MATCH(P4,PoolPlan_EnergyProj!$B$7:$B$30),MATCH($C8,PoolPlan_EnergyProj!$C$1:$N$1,0))</f>
        <v>9437</v>
      </c>
      <c r="Q8" s="17">
        <f ca="1">OFFSET(PoolPlan_EnergyProj!$B$6,MATCH(Q4,PoolPlan_EnergyProj!$B$7:$B$30),MATCH($C8,PoolPlan_EnergyProj!$C$1:$N$1,0))</f>
        <v>10032</v>
      </c>
      <c r="R8" s="17">
        <f ca="1">OFFSET(PoolPlan_EnergyProj!$B$6,MATCH(R4,PoolPlan_EnergyProj!$B$7:$B$30),MATCH($C8,PoolPlan_EnergyProj!$C$1:$N$1,0))</f>
        <v>10658</v>
      </c>
      <c r="S8" s="17">
        <f ca="1">OFFSET(PoolPlan_EnergyProj!$B$6,MATCH(S4,PoolPlan_EnergyProj!$B$7:$B$30),MATCH($C8,PoolPlan_EnergyProj!$C$1:$N$1,0))</f>
        <v>11316</v>
      </c>
      <c r="T8" s="17">
        <f ca="1">OFFSET(PoolPlan_EnergyProj!$B$6,MATCH(T4,PoolPlan_EnergyProj!$B$7:$B$30),MATCH($C8,PoolPlan_EnergyProj!$C$1:$N$1,0))</f>
        <v>12008</v>
      </c>
      <c r="U8" s="17">
        <f ca="1">OFFSET(PoolPlan_EnergyProj!$B$6,MATCH(U4,PoolPlan_EnergyProj!$B$7:$B$30),MATCH($C8,PoolPlan_EnergyProj!$C$1:$N$1,0))</f>
        <v>12674</v>
      </c>
      <c r="V8" s="17">
        <f ca="1">OFFSET(PoolPlan_EnergyProj!$B$6,MATCH(V4,PoolPlan_EnergyProj!$B$7:$B$30),MATCH($C8,PoolPlan_EnergyProj!$C$1:$N$1,0))</f>
        <v>13364</v>
      </c>
      <c r="W8" s="17">
        <f ca="1">OFFSET(PoolPlan_EnergyProj!$B$6,MATCH(W4,PoolPlan_EnergyProj!$B$7:$B$30),MATCH($C8,PoolPlan_EnergyProj!$C$1:$N$1,0))</f>
        <v>14077</v>
      </c>
      <c r="X8" s="17">
        <f ca="1">OFFSET(PoolPlan_EnergyProj!$B$6,MATCH(X4,PoolPlan_EnergyProj!$B$7:$B$30),MATCH($C8,PoolPlan_EnergyProj!$C$1:$N$1,0))</f>
        <v>14812</v>
      </c>
      <c r="Y8" s="17">
        <f ca="1">OFFSET(PoolPlan_EnergyProj!$B$6,MATCH(Y4,PoolPlan_EnergyProj!$B$7:$B$30),MATCH($C8,PoolPlan_EnergyProj!$C$1:$N$1,0))</f>
        <v>15568</v>
      </c>
      <c r="Z8" s="17">
        <f ca="1">OFFSET(PoolPlan_EnergyProj!$B$6,MATCH(Z4,PoolPlan_EnergyProj!$B$7:$B$30),MATCH($C8,PoolPlan_EnergyProj!$C$1:$N$1,0))</f>
        <v>16345</v>
      </c>
      <c r="AA8" s="17">
        <f ca="1">OFFSET(PoolPlan_EnergyProj!$B$6,MATCH(AA4,PoolPlan_EnergyProj!$B$7:$B$30),MATCH($C8,PoolPlan_EnergyProj!$C$1:$N$1,0))</f>
        <v>17056.096461184577</v>
      </c>
      <c r="AB8" s="17">
        <f ca="1">OFFSET(PoolPlan_EnergyProj!$B$6,MATCH(AB4,PoolPlan_EnergyProj!$B$7:$B$30),MATCH($C8,PoolPlan_EnergyProj!$C$1:$N$1,0))</f>
        <v>17751.863203286761</v>
      </c>
      <c r="AC8" s="17">
        <f ca="1">OFFSET(PoolPlan_EnergyProj!$B$6,MATCH(AC4,PoolPlan_EnergyProj!$B$7:$B$30),MATCH($C8,PoolPlan_EnergyProj!$C$1:$N$1,0))</f>
        <v>18485.577670431001</v>
      </c>
      <c r="AD8" s="17">
        <f ca="1">OFFSET(PoolPlan_EnergyProj!$B$6,MATCH(AD4,PoolPlan_EnergyProj!$B$7:$B$30),MATCH($C8,PoolPlan_EnergyProj!$C$1:$N$1,0))</f>
        <v>19327.573705860614</v>
      </c>
      <c r="AE8" s="17">
        <f ca="1">OFFSET(PoolPlan_EnergyProj!$B$6,MATCH(AE4,PoolPlan_EnergyProj!$B$7:$B$30),MATCH($C8,PoolPlan_EnergyProj!$C$1:$N$1,0))</f>
        <v>20293.684357739003</v>
      </c>
      <c r="AF8" s="17">
        <f ca="1">OFFSET(PoolPlan_EnergyProj!$B$6,MATCH(AF4,PoolPlan_EnergyProj!$B$7:$B$30),MATCH($C8,PoolPlan_EnergyProj!$C$1:$N$1,0))</f>
        <v>20218.817942841975</v>
      </c>
      <c r="AG8" s="17">
        <f ca="1">OFFSET(PoolPlan_EnergyProj!$B$6,MATCH(AG4,PoolPlan_EnergyProj!$B$7:$B$30),MATCH($C8,PoolPlan_EnergyProj!$C$1:$N$1,0))</f>
        <v>26499.630588898654</v>
      </c>
      <c r="AH8" s="17">
        <f ca="1">OFFSET(PoolPlan_EnergyProj!$B$6,MATCH(AH4,PoolPlan_EnergyProj!$B$7:$B$30),MATCH($C8,PoolPlan_EnergyProj!$C$1:$N$1,0))</f>
        <v>29667.566537114169</v>
      </c>
      <c r="BP8" s="17">
        <f ca="1">SUM(BP5:BP7)</f>
        <v>6342.9999999999991</v>
      </c>
      <c r="BQ8" s="17">
        <f t="shared" ref="BQ8:CM8" ca="1" si="83">SUM(BQ5:BQ7)</f>
        <v>6928.9999999999991</v>
      </c>
      <c r="BR8" s="17">
        <f t="shared" ca="1" si="83"/>
        <v>7515.9999999999991</v>
      </c>
      <c r="BS8" s="17">
        <f t="shared" ca="1" si="83"/>
        <v>8121.9999999999991</v>
      </c>
      <c r="BT8" s="17">
        <f t="shared" ca="1" si="83"/>
        <v>8771.9999999999982</v>
      </c>
      <c r="BU8" s="17">
        <f t="shared" ca="1" si="83"/>
        <v>9437</v>
      </c>
      <c r="BV8" s="17">
        <f t="shared" ca="1" si="83"/>
        <v>10032</v>
      </c>
      <c r="BW8" s="17">
        <f t="shared" ca="1" si="83"/>
        <v>10658</v>
      </c>
      <c r="BX8" s="17">
        <f t="shared" ca="1" si="83"/>
        <v>11316</v>
      </c>
      <c r="BY8" s="17">
        <f t="shared" ca="1" si="83"/>
        <v>12008</v>
      </c>
      <c r="BZ8" s="17">
        <f t="shared" ca="1" si="83"/>
        <v>12674</v>
      </c>
      <c r="CA8" s="17">
        <f t="shared" ca="1" si="83"/>
        <v>13364</v>
      </c>
      <c r="CB8" s="17">
        <f t="shared" ca="1" si="83"/>
        <v>14077</v>
      </c>
      <c r="CC8" s="17">
        <f t="shared" ca="1" si="83"/>
        <v>14812</v>
      </c>
      <c r="CD8" s="17">
        <f t="shared" ca="1" si="83"/>
        <v>15567.999999999998</v>
      </c>
      <c r="CE8" s="17">
        <f t="shared" ca="1" si="83"/>
        <v>16345</v>
      </c>
      <c r="CF8" s="17">
        <f t="shared" ca="1" si="83"/>
        <v>17056.096461184577</v>
      </c>
      <c r="CG8" s="17">
        <f t="shared" ca="1" si="83"/>
        <v>17751.863203286761</v>
      </c>
      <c r="CH8" s="17">
        <f t="shared" ca="1" si="83"/>
        <v>18485.577670431001</v>
      </c>
      <c r="CI8" s="17">
        <f t="shared" ca="1" si="83"/>
        <v>19327.573705860614</v>
      </c>
      <c r="CJ8" s="17">
        <f t="shared" ca="1" si="83"/>
        <v>20293.684357739003</v>
      </c>
      <c r="CK8" s="17">
        <f t="shared" ca="1" si="83"/>
        <v>20218.817942841975</v>
      </c>
      <c r="CL8" s="17">
        <f t="shared" ca="1" si="83"/>
        <v>26499.630588898654</v>
      </c>
      <c r="CM8" s="17">
        <f t="shared" ca="1" si="83"/>
        <v>29667.566537114169</v>
      </c>
    </row>
    <row r="9" spans="1:141" x14ac:dyDescent="0.25">
      <c r="A9" t="str">
        <f t="shared" si="17"/>
        <v>BOT</v>
      </c>
      <c r="C9" t="str">
        <f>IFERROR(VLOOKUP(D9,PoolPlan_EnergyProj!$C$89:$D$100,2,FALSE),C8)</f>
        <v>BOT</v>
      </c>
      <c r="D9" s="93" t="s">
        <v>14</v>
      </c>
      <c r="E9">
        <v>2010</v>
      </c>
      <c r="F9">
        <v>2015</v>
      </c>
      <c r="G9">
        <v>2020</v>
      </c>
      <c r="H9">
        <v>2030</v>
      </c>
      <c r="I9">
        <f>I4</f>
        <v>2050</v>
      </c>
      <c r="K9">
        <v>2010</v>
      </c>
      <c r="L9">
        <f>K9+1</f>
        <v>2011</v>
      </c>
      <c r="M9">
        <f t="shared" ref="M9:AF9" si="84">L9+1</f>
        <v>2012</v>
      </c>
      <c r="N9">
        <f t="shared" si="84"/>
        <v>2013</v>
      </c>
      <c r="O9">
        <f t="shared" si="84"/>
        <v>2014</v>
      </c>
      <c r="P9">
        <f t="shared" si="84"/>
        <v>2015</v>
      </c>
      <c r="Q9">
        <f t="shared" si="84"/>
        <v>2016</v>
      </c>
      <c r="R9">
        <f t="shared" si="84"/>
        <v>2017</v>
      </c>
      <c r="S9">
        <f t="shared" si="84"/>
        <v>2018</v>
      </c>
      <c r="T9">
        <f t="shared" si="84"/>
        <v>2019</v>
      </c>
      <c r="U9">
        <f t="shared" si="84"/>
        <v>2020</v>
      </c>
      <c r="V9">
        <f t="shared" si="84"/>
        <v>2021</v>
      </c>
      <c r="W9">
        <f t="shared" si="84"/>
        <v>2022</v>
      </c>
      <c r="X9">
        <f t="shared" si="84"/>
        <v>2023</v>
      </c>
      <c r="Y9">
        <f t="shared" si="84"/>
        <v>2024</v>
      </c>
      <c r="Z9">
        <f t="shared" si="84"/>
        <v>2025</v>
      </c>
      <c r="AA9">
        <f t="shared" si="84"/>
        <v>2026</v>
      </c>
      <c r="AB9">
        <f t="shared" si="84"/>
        <v>2027</v>
      </c>
      <c r="AC9">
        <f t="shared" si="84"/>
        <v>2028</v>
      </c>
      <c r="AD9">
        <f t="shared" si="84"/>
        <v>2029</v>
      </c>
      <c r="AE9">
        <f t="shared" si="84"/>
        <v>2030</v>
      </c>
      <c r="AF9">
        <f t="shared" si="84"/>
        <v>2031</v>
      </c>
      <c r="AG9">
        <v>2040</v>
      </c>
      <c r="AH9">
        <v>2050</v>
      </c>
      <c r="AL9">
        <f>E9</f>
        <v>2010</v>
      </c>
      <c r="AM9">
        <f>G9</f>
        <v>2020</v>
      </c>
      <c r="AN9">
        <f>H9</f>
        <v>2030</v>
      </c>
      <c r="AO9">
        <f>I9</f>
        <v>2050</v>
      </c>
      <c r="AQ9">
        <v>2010</v>
      </c>
      <c r="AR9">
        <f>AQ9+1</f>
        <v>2011</v>
      </c>
      <c r="AS9">
        <f t="shared" ref="AS9:BL9" si="85">AR9+1</f>
        <v>2012</v>
      </c>
      <c r="AT9">
        <f t="shared" si="85"/>
        <v>2013</v>
      </c>
      <c r="AU9">
        <f t="shared" si="85"/>
        <v>2014</v>
      </c>
      <c r="AV9">
        <f t="shared" si="85"/>
        <v>2015</v>
      </c>
      <c r="AW9">
        <f t="shared" si="85"/>
        <v>2016</v>
      </c>
      <c r="AX9">
        <f t="shared" si="85"/>
        <v>2017</v>
      </c>
      <c r="AY9">
        <f t="shared" si="85"/>
        <v>2018</v>
      </c>
      <c r="AZ9">
        <f t="shared" si="85"/>
        <v>2019</v>
      </c>
      <c r="BA9">
        <f t="shared" si="85"/>
        <v>2020</v>
      </c>
      <c r="BB9">
        <f t="shared" si="85"/>
        <v>2021</v>
      </c>
      <c r="BC9">
        <f t="shared" si="85"/>
        <v>2022</v>
      </c>
      <c r="BD9">
        <f t="shared" si="85"/>
        <v>2023</v>
      </c>
      <c r="BE9">
        <f t="shared" si="85"/>
        <v>2024</v>
      </c>
      <c r="BF9">
        <f t="shared" si="85"/>
        <v>2025</v>
      </c>
      <c r="BG9">
        <f t="shared" si="85"/>
        <v>2026</v>
      </c>
      <c r="BH9">
        <f t="shared" si="85"/>
        <v>2027</v>
      </c>
      <c r="BI9">
        <f t="shared" si="85"/>
        <v>2028</v>
      </c>
      <c r="BJ9">
        <f t="shared" si="85"/>
        <v>2029</v>
      </c>
      <c r="BK9">
        <f t="shared" si="85"/>
        <v>2030</v>
      </c>
      <c r="BL9">
        <f t="shared" si="85"/>
        <v>2031</v>
      </c>
      <c r="BM9">
        <v>2040</v>
      </c>
      <c r="BN9">
        <v>2050</v>
      </c>
      <c r="BP9">
        <f>AQ9</f>
        <v>2010</v>
      </c>
      <c r="BQ9">
        <f t="shared" ref="BQ9:CM9" si="86">AR9</f>
        <v>2011</v>
      </c>
      <c r="BR9">
        <f t="shared" si="86"/>
        <v>2012</v>
      </c>
      <c r="BS9">
        <f t="shared" si="86"/>
        <v>2013</v>
      </c>
      <c r="BT9">
        <f t="shared" si="86"/>
        <v>2014</v>
      </c>
      <c r="BU9">
        <f t="shared" si="86"/>
        <v>2015</v>
      </c>
      <c r="BV9">
        <f t="shared" si="86"/>
        <v>2016</v>
      </c>
      <c r="BW9">
        <f t="shared" si="86"/>
        <v>2017</v>
      </c>
      <c r="BX9">
        <f t="shared" si="86"/>
        <v>2018</v>
      </c>
      <c r="BY9">
        <f t="shared" si="86"/>
        <v>2019</v>
      </c>
      <c r="BZ9">
        <f t="shared" si="86"/>
        <v>2020</v>
      </c>
      <c r="CA9">
        <f t="shared" si="86"/>
        <v>2021</v>
      </c>
      <c r="CB9">
        <f t="shared" si="86"/>
        <v>2022</v>
      </c>
      <c r="CC9">
        <f t="shared" si="86"/>
        <v>2023</v>
      </c>
      <c r="CD9">
        <f t="shared" si="86"/>
        <v>2024</v>
      </c>
      <c r="CE9">
        <f t="shared" si="86"/>
        <v>2025</v>
      </c>
      <c r="CF9">
        <f t="shared" si="86"/>
        <v>2026</v>
      </c>
      <c r="CG9">
        <f t="shared" si="86"/>
        <v>2027</v>
      </c>
      <c r="CH9">
        <f t="shared" si="86"/>
        <v>2028</v>
      </c>
      <c r="CI9">
        <f t="shared" si="86"/>
        <v>2029</v>
      </c>
      <c r="CJ9">
        <f t="shared" si="86"/>
        <v>2030</v>
      </c>
      <c r="CK9">
        <f t="shared" si="86"/>
        <v>2031</v>
      </c>
      <c r="CL9">
        <f t="shared" si="86"/>
        <v>2040</v>
      </c>
      <c r="CM9">
        <f t="shared" si="86"/>
        <v>2050</v>
      </c>
      <c r="CO9">
        <f>BP9</f>
        <v>2010</v>
      </c>
      <c r="CP9">
        <f t="shared" ref="CP9:DD9" si="87">BQ9</f>
        <v>2011</v>
      </c>
      <c r="CQ9">
        <f t="shared" si="87"/>
        <v>2012</v>
      </c>
      <c r="CR9">
        <f t="shared" si="87"/>
        <v>2013</v>
      </c>
      <c r="CS9">
        <f t="shared" si="87"/>
        <v>2014</v>
      </c>
      <c r="CT9">
        <f t="shared" si="87"/>
        <v>2015</v>
      </c>
      <c r="CU9">
        <f t="shared" si="87"/>
        <v>2016</v>
      </c>
      <c r="CV9">
        <f t="shared" si="87"/>
        <v>2017</v>
      </c>
      <c r="CW9">
        <f t="shared" si="87"/>
        <v>2018</v>
      </c>
      <c r="CX9">
        <f t="shared" si="87"/>
        <v>2019</v>
      </c>
      <c r="CY9">
        <f t="shared" si="87"/>
        <v>2020</v>
      </c>
      <c r="CZ9">
        <f t="shared" si="87"/>
        <v>2021</v>
      </c>
      <c r="DA9">
        <f t="shared" si="87"/>
        <v>2022</v>
      </c>
      <c r="DB9">
        <f t="shared" si="87"/>
        <v>2023</v>
      </c>
      <c r="DC9">
        <f t="shared" si="87"/>
        <v>2024</v>
      </c>
      <c r="DD9">
        <f t="shared" si="87"/>
        <v>2025</v>
      </c>
      <c r="DE9">
        <f>CF9</f>
        <v>2026</v>
      </c>
      <c r="DF9">
        <f t="shared" ref="DF9:DG9" si="88">CG9</f>
        <v>2027</v>
      </c>
      <c r="DG9">
        <f t="shared" si="88"/>
        <v>2028</v>
      </c>
      <c r="DH9">
        <f>CI9</f>
        <v>2029</v>
      </c>
      <c r="DI9">
        <f t="shared" ref="DI9" si="89">CJ9</f>
        <v>2030</v>
      </c>
      <c r="DJ9">
        <f>CK9</f>
        <v>2031</v>
      </c>
      <c r="DK9">
        <f>CL9</f>
        <v>2040</v>
      </c>
      <c r="DL9">
        <f t="shared" ref="DL9" si="90">CM9</f>
        <v>2050</v>
      </c>
    </row>
    <row r="10" spans="1:141" x14ac:dyDescent="0.25">
      <c r="A10" t="str">
        <f t="shared" si="17"/>
        <v>IndustryBOT</v>
      </c>
      <c r="B10" t="str">
        <f>B5</f>
        <v>Industry</v>
      </c>
      <c r="C10" t="str">
        <f>IFERROR(VLOOKUP(D10,PoolPlan_EnergyProj!$C$89:$D$100,2,FALSE),C9)</f>
        <v>BOT</v>
      </c>
      <c r="D10" t="s">
        <v>146</v>
      </c>
      <c r="E10" s="91">
        <v>0.5</v>
      </c>
      <c r="F10" s="91">
        <v>0.55000000000000004</v>
      </c>
      <c r="G10" s="91">
        <v>0.55000000000000004</v>
      </c>
      <c r="H10" s="91">
        <v>0.55000000000000004</v>
      </c>
      <c r="I10" s="91">
        <v>0.3</v>
      </c>
      <c r="K10" s="91">
        <f>E10</f>
        <v>0.5</v>
      </c>
      <c r="L10" s="91">
        <f>($P10-$K10)/($P$4-$K$4)+K10</f>
        <v>0.51</v>
      </c>
      <c r="M10" s="91">
        <f t="shared" ref="M10:O10" si="91">($P10-$K10)/($P$4-$K$4)+L10</f>
        <v>0.52</v>
      </c>
      <c r="N10" s="91">
        <f t="shared" si="91"/>
        <v>0.53</v>
      </c>
      <c r="O10" s="91">
        <f t="shared" si="91"/>
        <v>0.54</v>
      </c>
      <c r="P10" s="91">
        <f>F10</f>
        <v>0.55000000000000004</v>
      </c>
      <c r="Q10" s="91">
        <f>($U10-$P10)/($U$4-$P$4)+P10</f>
        <v>0.55000000000000004</v>
      </c>
      <c r="R10" s="91">
        <f t="shared" ref="R10:T10" si="92">($U10-$P10)/($U$4-$P$4)+Q10</f>
        <v>0.55000000000000004</v>
      </c>
      <c r="S10" s="91">
        <f t="shared" si="92"/>
        <v>0.55000000000000004</v>
      </c>
      <c r="T10" s="91">
        <f t="shared" si="92"/>
        <v>0.55000000000000004</v>
      </c>
      <c r="U10" s="91">
        <f>G10</f>
        <v>0.55000000000000004</v>
      </c>
      <c r="V10" s="91">
        <f>(AE10-U10)/(AE$4-U$4)+U10</f>
        <v>0.55000000000000004</v>
      </c>
      <c r="W10" s="91">
        <f>(AE10-U10)/(AE$4-U$4)+V10</f>
        <v>0.55000000000000004</v>
      </c>
      <c r="X10" s="91">
        <f>(AE10-U10)/(AE$4-U$4)+W10</f>
        <v>0.55000000000000004</v>
      </c>
      <c r="Y10" s="91">
        <f>(AE10-U10)/(AE$4-U$4)+X10</f>
        <v>0.55000000000000004</v>
      </c>
      <c r="Z10" s="91">
        <f>(AE10-U10)/(AE$4-U$4)+Y10</f>
        <v>0.55000000000000004</v>
      </c>
      <c r="AA10" s="91">
        <f>(AE10-U10)/(AE$4-U$4)+Z10</f>
        <v>0.55000000000000004</v>
      </c>
      <c r="AB10" s="91">
        <f>(AE10-U10)/(AE$4-U$4)+AA10</f>
        <v>0.55000000000000004</v>
      </c>
      <c r="AC10" s="91">
        <f>(AE10-U10)/(AE$4-U$4)+AB10</f>
        <v>0.55000000000000004</v>
      </c>
      <c r="AD10" s="91">
        <f>(AE10-U10)/(AE$4-U$4)+AC10</f>
        <v>0.55000000000000004</v>
      </c>
      <c r="AE10" s="91">
        <f>H10</f>
        <v>0.55000000000000004</v>
      </c>
      <c r="AF10" s="91">
        <f>(AH10-AE10)/(AH$4-AE$4)+AE10</f>
        <v>0.53750000000000009</v>
      </c>
      <c r="AG10" s="91">
        <f>(AE10+AH10)/2</f>
        <v>0.42500000000000004</v>
      </c>
      <c r="AH10" s="91">
        <f>I10</f>
        <v>0.3</v>
      </c>
      <c r="AJ10" s="94">
        <f>SUMIF(AR2008_Stats!$A$18:$A$29,C10,AR2008_Stats!$T$18:$T$29)</f>
        <v>0.13392330383480833</v>
      </c>
      <c r="AK10" s="91">
        <f>SUMIF(AR2008_Stats!$A$18:$A$29,C10,AR2008_Stats!$R$18:$R$29)</f>
        <v>3.5999999999999997E-2</v>
      </c>
      <c r="AL10" s="83">
        <v>0.03</v>
      </c>
      <c r="AM10" s="91">
        <v>0.02</v>
      </c>
      <c r="AN10" s="91">
        <v>0.01</v>
      </c>
      <c r="AO10" s="91">
        <v>0.01</v>
      </c>
      <c r="AP10" s="95" t="str">
        <f>AQ10&amp;" "&amp;AR10&amp;" "&amp;AS10&amp;" "&amp;AT10&amp;" "&amp;AU10&amp;" "&amp;AV10&amp;" "&amp;AW10&amp;" "&amp;AX10&amp;" "&amp;AY10&amp;" "&amp;AZ10&amp;" "&amp;BA10&amp;" "&amp;BB10&amp;" "&amp;BC10&amp;" "&amp;BD10&amp;" "&amp;BE10&amp;" "&amp;BF10&amp;" "&amp;BG10&amp;" "&amp;BH10&amp;" "&amp;BI10&amp;" "&amp;BJ10&amp;" "&amp;BK10&amp;" "&amp;BL10&amp;" "&amp;BM10&amp;" "&amp;BN10&amp;" "</f>
        <v xml:space="preserve">0.03 0.029 0.028 0.027 0.026 0.025 0.024 0.023 0.022 0.021 0.02 0.019 0.018 0.017 0.016 0.015 0.014 0.013 0.012 0.011 0.01 0.01 0.01 0.01 </v>
      </c>
      <c r="AQ10" s="91">
        <f>AL10</f>
        <v>0.03</v>
      </c>
      <c r="AR10" s="91">
        <f>(BA10-AQ10)/(BA$4-AQ$4)+AQ10</f>
        <v>2.8999999999999998E-2</v>
      </c>
      <c r="AS10" s="91">
        <f>(BA10-AQ10)/(BA$4-AQ$4)+AR10</f>
        <v>2.7999999999999997E-2</v>
      </c>
      <c r="AT10" s="91">
        <f>(BA10-AQ10)/(BA$4-AQ$4)+AS10</f>
        <v>2.6999999999999996E-2</v>
      </c>
      <c r="AU10" s="91">
        <f>(BA10-AQ10)/(BA$4-AQ$4)+AT10</f>
        <v>2.5999999999999995E-2</v>
      </c>
      <c r="AV10" s="91">
        <f>(BA10-AQ10)/(BA$4-AQ$4)+AU10</f>
        <v>2.4999999999999994E-2</v>
      </c>
      <c r="AW10" s="91">
        <f>(BA10-AQ10)/(BA$4-AQ$4)+AV10</f>
        <v>2.3999999999999994E-2</v>
      </c>
      <c r="AX10" s="91">
        <f>(BA10-AQ10)/(BA$4-AQ$4)+AW10</f>
        <v>2.2999999999999993E-2</v>
      </c>
      <c r="AY10" s="91">
        <f>(BA10-AQ10)/(BA$4-AQ$4)+AX10</f>
        <v>2.1999999999999992E-2</v>
      </c>
      <c r="AZ10" s="91">
        <f>(BA10-AQ10)/(BA$4-AQ$4)+AY10</f>
        <v>2.0999999999999991E-2</v>
      </c>
      <c r="BA10" s="91">
        <f>AM10</f>
        <v>0.02</v>
      </c>
      <c r="BB10" s="91">
        <f>(BK10-BA10)/(BK$4-BA$4)+BA10</f>
        <v>1.9E-2</v>
      </c>
      <c r="BC10" s="91">
        <f>(BK10-BA10)/(BK$4-BA$4)+BB10</f>
        <v>1.7999999999999999E-2</v>
      </c>
      <c r="BD10" s="91">
        <f>(BK10-BA10)/(BK$4-BA$4)+BC10</f>
        <v>1.6999999999999998E-2</v>
      </c>
      <c r="BE10" s="91">
        <f>(BK10-BA10)/(BK$4-BA$4)+BD10</f>
        <v>1.5999999999999997E-2</v>
      </c>
      <c r="BF10" s="91">
        <f>(BK10-BA10)/(BK$4-BA$4)+BE10</f>
        <v>1.4999999999999996E-2</v>
      </c>
      <c r="BG10" s="91">
        <f>(BK10-BA10)/(BK$4-BA$4)+BF10</f>
        <v>1.3999999999999995E-2</v>
      </c>
      <c r="BH10" s="91">
        <f>(BK10-BA10)/(BK$4-BA$4)+BG10</f>
        <v>1.2999999999999994E-2</v>
      </c>
      <c r="BI10" s="91">
        <f>(BK10-BA10)/(BK$4-BA$4)+BH10</f>
        <v>1.1999999999999993E-2</v>
      </c>
      <c r="BJ10" s="91">
        <f>(BK10-BA10)/(BK$4-BA$4)+BI10</f>
        <v>1.0999999999999992E-2</v>
      </c>
      <c r="BK10" s="91">
        <f>AN10</f>
        <v>0.01</v>
      </c>
      <c r="BL10" s="91">
        <f>(BN10-BK10)/(BN$4-BK$4)+BK10</f>
        <v>0.01</v>
      </c>
      <c r="BM10" s="91">
        <f>(BK10+BN10)/2</f>
        <v>0.01</v>
      </c>
      <c r="BN10" s="91">
        <f>AO10</f>
        <v>0.01</v>
      </c>
      <c r="BP10" s="17">
        <f ca="1">K10*K13</f>
        <v>2101</v>
      </c>
      <c r="BQ10" s="17">
        <f t="shared" ref="BQ10" ca="1" si="93">L10*L13</f>
        <v>2317.9499999999998</v>
      </c>
      <c r="BR10" s="17">
        <f t="shared" ref="BR10" ca="1" si="94">M10*M13</f>
        <v>2422.6800000000003</v>
      </c>
      <c r="BS10" s="17">
        <f t="shared" ref="BS10" ca="1" si="95">N10*N13</f>
        <v>2615.5500000000002</v>
      </c>
      <c r="BT10" s="17">
        <f t="shared" ref="BT10" ca="1" si="96">O10*O13</f>
        <v>2793.42</v>
      </c>
      <c r="BU10" s="17">
        <f t="shared" ref="BU10" ca="1" si="97">P10*P13</f>
        <v>2913.9</v>
      </c>
      <c r="BV10" s="17">
        <f t="shared" ref="BV10" ca="1" si="98">Q10*Q13</f>
        <v>2976.05</v>
      </c>
      <c r="BW10" s="17">
        <f t="shared" ref="BW10" ca="1" si="99">R10*R13</f>
        <v>3255.4500000000003</v>
      </c>
      <c r="BX10" s="17">
        <f t="shared" ref="BX10" ca="1" si="100">S10*S13</f>
        <v>3435.8500000000004</v>
      </c>
      <c r="BY10" s="17">
        <f t="shared" ref="BY10" ca="1" si="101">T10*T13</f>
        <v>3709.2000000000003</v>
      </c>
      <c r="BZ10" s="17">
        <f t="shared" ref="BZ10" ca="1" si="102">U10*U13</f>
        <v>3766.4</v>
      </c>
      <c r="CA10" s="17">
        <f t="shared" ref="CA10" ca="1" si="103">V10*V13</f>
        <v>3821.9500000000003</v>
      </c>
      <c r="CB10" s="17">
        <f t="shared" ref="CB10" ca="1" si="104">W10*W13</f>
        <v>3876.9500000000003</v>
      </c>
      <c r="CC10" s="17">
        <f t="shared" ref="CC10" ca="1" si="105">X10*X13</f>
        <v>3930.8500000000004</v>
      </c>
      <c r="CD10" s="17">
        <f t="shared" ref="CD10" ca="1" si="106">Y10*Y13</f>
        <v>3983.6500000000005</v>
      </c>
      <c r="CE10" s="17">
        <f t="shared" ref="CE10" ca="1" si="107">Z10*Z13</f>
        <v>4034.8</v>
      </c>
      <c r="CF10" s="17">
        <f t="shared" ref="CF10" ca="1" si="108">AA10*AA13</f>
        <v>4086.6067651525614</v>
      </c>
      <c r="CG10" s="17">
        <f t="shared" ref="CG10" ca="1" si="109">AB10*AB13</f>
        <v>4139.0787283113605</v>
      </c>
      <c r="CH10" s="17">
        <f t="shared" ref="CH10" ca="1" si="110">AC10*AC13</f>
        <v>4192.2244306077791</v>
      </c>
      <c r="CI10" s="17">
        <f t="shared" ref="CI10" ca="1" si="111">AD10*AD13</f>
        <v>4238.3485666576316</v>
      </c>
      <c r="CJ10" s="17">
        <f t="shared" ref="CJ10" ca="1" si="112">AE10*AE13</f>
        <v>4251.5350403921766</v>
      </c>
      <c r="CK10" s="17">
        <f t="shared" ref="CK10" ca="1" si="113">AF10*AF13</f>
        <v>4209.2321145375654</v>
      </c>
      <c r="CL10" s="17">
        <f t="shared" ref="CL10" ca="1" si="114">AG10*AG13</f>
        <v>3516.1483988887762</v>
      </c>
      <c r="CM10" s="17">
        <f t="shared" ref="CM10" ca="1" si="115">AH10*AH13</f>
        <v>2545.9388088175501</v>
      </c>
      <c r="CN10" s="95" t="str">
        <f t="shared" ref="CN10:CN12" ca="1" si="116">CO10&amp;" "&amp;CP10&amp;" "&amp;CQ10&amp;" "&amp;CR10&amp;" "&amp;CS10&amp;" "&amp;CT10&amp;" "&amp;CU10&amp;" "&amp;CV10&amp;" "&amp;CW10&amp;" "&amp;CX10&amp;" "&amp;CY10&amp;" "&amp;CZ10&amp;" "&amp;DA10&amp;" "&amp;DB10&amp;" "&amp;DC10&amp;" "&amp;DD10&amp;" "&amp;DE10&amp;" "&amp;DF10&amp;" "&amp;DG10&amp;" "&amp;DH10&amp;" "&amp;DI10&amp;" "&amp;DJ10&amp;" "&amp;DK10&amp;" "&amp;DL10&amp;" "</f>
        <v xml:space="preserve">224.3 247.7 259.1 280.1 299.4 312.6 319.6 350 369.8 399.6 406.2 412.6 419 425.2 431.4 437.4 443.4 449.6 455.8 461.3 463.2 458.6 383.1 277.4 </v>
      </c>
      <c r="CO10" s="96">
        <f ca="1">ROUND(BP10*(1-AQ10)*(1-$AK10)/8.76*(1+CO$2),1)</f>
        <v>224.3</v>
      </c>
      <c r="CP10" s="96">
        <f t="shared" ref="CP10:CP12" ca="1" si="117">ROUND(BQ10*(1-AR10)*(1-$AK10)/8.76*(1+CP$2),1)</f>
        <v>247.7</v>
      </c>
      <c r="CQ10" s="96">
        <f t="shared" ref="CQ10:CQ12" ca="1" si="118">ROUND(BR10*(1-AS10)*(1-$AK10)/8.76*(1+CQ$2),1)</f>
        <v>259.10000000000002</v>
      </c>
      <c r="CR10" s="96">
        <f t="shared" ref="CR10:CR12" ca="1" si="119">ROUND(BS10*(1-AT10)*(1-$AK10)/8.76*(1+CR$2),1)</f>
        <v>280.10000000000002</v>
      </c>
      <c r="CS10" s="96">
        <f t="shared" ref="CS10:CS12" ca="1" si="120">ROUND(BT10*(1-AU10)*(1-$AK10)/8.76*(1+CS$2),1)</f>
        <v>299.39999999999998</v>
      </c>
      <c r="CT10" s="96">
        <f t="shared" ref="CT10:CT12" ca="1" si="121">ROUND(BU10*(1-AV10)*(1-$AK10)/8.76*(1+CT$2),1)</f>
        <v>312.60000000000002</v>
      </c>
      <c r="CU10" s="96">
        <f t="shared" ref="CU10:CU12" ca="1" si="122">ROUND(BV10*(1-AW10)*(1-$AK10)/8.76*(1+CU$2),1)</f>
        <v>319.60000000000002</v>
      </c>
      <c r="CV10" s="96">
        <f t="shared" ref="CV10:CV12" ca="1" si="123">ROUND(BW10*(1-AX10)*(1-$AK10)/8.76*(1+CV$2),1)</f>
        <v>350</v>
      </c>
      <c r="CW10" s="96">
        <f t="shared" ref="CW10:CW12" ca="1" si="124">ROUND(BX10*(1-AY10)*(1-$AK10)/8.76*(1+CW$2),1)</f>
        <v>369.8</v>
      </c>
      <c r="CX10" s="96">
        <f t="shared" ref="CX10:CX12" ca="1" si="125">ROUND(BY10*(1-AZ10)*(1-$AK10)/8.76*(1+CX$2),1)</f>
        <v>399.6</v>
      </c>
      <c r="CY10" s="96">
        <f t="shared" ref="CY10:CY12" ca="1" si="126">ROUND(BZ10*(1-BA10)*(1-$AK10)/8.76*(1+CY$2),1)</f>
        <v>406.2</v>
      </c>
      <c r="CZ10" s="96">
        <f t="shared" ref="CZ10:CZ12" ca="1" si="127">ROUND(CA10*(1-BB10)*(1-$AK10)/8.76*(1+CZ$2),1)</f>
        <v>412.6</v>
      </c>
      <c r="DA10" s="96">
        <f t="shared" ref="DA10:DA12" ca="1" si="128">ROUND(CB10*(1-BC10)*(1-$AK10)/8.76*(1+DA$2),1)</f>
        <v>419</v>
      </c>
      <c r="DB10" s="96">
        <f t="shared" ref="DB10:DB12" ca="1" si="129">ROUND(CC10*(1-BD10)*(1-$AK10)/8.76*(1+DB$2),1)</f>
        <v>425.2</v>
      </c>
      <c r="DC10" s="96">
        <f t="shared" ref="DC10:DC12" ca="1" si="130">ROUND(CD10*(1-BE10)*(1-$AK10)/8.76*(1+DC$2),1)</f>
        <v>431.4</v>
      </c>
      <c r="DD10" s="96">
        <f t="shared" ref="DD10:DD12" ca="1" si="131">ROUND(CE10*(1-BF10)*(1-$AK10)/8.76*(1+DD$2),1)</f>
        <v>437.4</v>
      </c>
      <c r="DE10" s="96">
        <f t="shared" ref="DE10:DE12" ca="1" si="132">ROUND(CF10*(1-BG10)*(1-$AK10)/8.76*(1+DE$2),1)</f>
        <v>443.4</v>
      </c>
      <c r="DF10" s="96">
        <f t="shared" ref="DF10:DF12" ca="1" si="133">ROUND(CG10*(1-BH10)*(1-$AK10)/8.76*(1+DF$2),1)</f>
        <v>449.6</v>
      </c>
      <c r="DG10" s="96">
        <f t="shared" ref="DG10:DG12" ca="1" si="134">ROUND(CH10*(1-BI10)*(1-$AK10)/8.76*(1+DG$2),1)</f>
        <v>455.8</v>
      </c>
      <c r="DH10" s="96">
        <f t="shared" ref="DH10:DH12" ca="1" si="135">ROUND(CI10*(1-BJ10)*(1-$AK10)/8.76*(1+DH$2),1)</f>
        <v>461.3</v>
      </c>
      <c r="DI10" s="96">
        <f t="shared" ref="DI10:DI12" ca="1" si="136">ROUND(CJ10*(1-BK10)*(1-$AK10)/8.76*(1+DI$2),1)</f>
        <v>463.2</v>
      </c>
      <c r="DJ10" s="96">
        <f t="shared" ref="DJ10:DJ12" ca="1" si="137">ROUND(CK10*(1-BL10)*(1-$AK10)/8.76*(1+DJ$2),1)</f>
        <v>458.6</v>
      </c>
      <c r="DK10" s="96">
        <f t="shared" ref="DK10:DK12" ca="1" si="138">ROUND(CL10*(1-BM10)*(1-$AK10)/8.76*(1+DK$2),1)</f>
        <v>383.1</v>
      </c>
      <c r="DL10" s="96">
        <f t="shared" ref="DL10:DL12" ca="1" si="139">ROUND(CM10*(1-BN10)*(1-$AK10)/8.76*(1+DL$2),1)</f>
        <v>277.39999999999998</v>
      </c>
      <c r="DM10" s="95" t="str">
        <f t="shared" ref="DM10:DM12" si="140">DN10&amp;" "&amp;DO10&amp;" "&amp;DP10&amp;" "&amp;DQ10&amp;" "&amp;DR10&amp;" "&amp;DS10&amp;" "&amp;DT10&amp;" "&amp;DU10&amp;" "&amp;DV10&amp;" "&amp;DW10&amp;" "&amp;DX10&amp;" "&amp;DY10&amp;" "&amp;DZ10&amp;" "&amp;EA10&amp;" "&amp;EB10&amp;" "&amp;EC10&amp;" "&amp;ED10&amp;" "&amp;EE10&amp;" "&amp;EF10&amp;" "&amp;EG10&amp;" "&amp;EH10&amp;" "&amp;EI10&amp;" "&amp;EJ10&amp;" "&amp;EK10&amp;" "</f>
        <v xml:space="preserve">0.97 0.971 0.972 0.973 0.974 0.975 0.976 0.977 0.978 0.979 0.98 0.981 0.982 0.983 0.984 0.985 0.986 0.987 0.988 0.989 0.99 0.99 0.99 0.99 </v>
      </c>
      <c r="DN10" s="91">
        <f>1-AQ10</f>
        <v>0.97</v>
      </c>
      <c r="DO10" s="91">
        <f t="shared" ref="DO10:ED12" si="141">1-AR10</f>
        <v>0.97099999999999997</v>
      </c>
      <c r="DP10" s="91">
        <f t="shared" si="141"/>
        <v>0.97199999999999998</v>
      </c>
      <c r="DQ10" s="91">
        <f t="shared" si="141"/>
        <v>0.97299999999999998</v>
      </c>
      <c r="DR10" s="91">
        <f t="shared" si="141"/>
        <v>0.97399999999999998</v>
      </c>
      <c r="DS10" s="91">
        <f t="shared" si="141"/>
        <v>0.97499999999999998</v>
      </c>
      <c r="DT10" s="91">
        <f t="shared" si="141"/>
        <v>0.97599999999999998</v>
      </c>
      <c r="DU10" s="91">
        <f t="shared" si="141"/>
        <v>0.97699999999999998</v>
      </c>
      <c r="DV10" s="91">
        <f t="shared" si="141"/>
        <v>0.97799999999999998</v>
      </c>
      <c r="DW10" s="91">
        <f t="shared" si="141"/>
        <v>0.97899999999999998</v>
      </c>
      <c r="DX10" s="91">
        <f t="shared" si="141"/>
        <v>0.98</v>
      </c>
      <c r="DY10" s="91">
        <f t="shared" si="141"/>
        <v>0.98099999999999998</v>
      </c>
      <c r="DZ10" s="91">
        <f t="shared" si="141"/>
        <v>0.98199999999999998</v>
      </c>
      <c r="EA10" s="91">
        <f t="shared" si="141"/>
        <v>0.98299999999999998</v>
      </c>
      <c r="EB10" s="91">
        <f t="shared" si="141"/>
        <v>0.98399999999999999</v>
      </c>
      <c r="EC10" s="91">
        <f t="shared" si="141"/>
        <v>0.98499999999999999</v>
      </c>
      <c r="ED10" s="91">
        <f t="shared" si="141"/>
        <v>0.98599999999999999</v>
      </c>
      <c r="EE10" s="91">
        <f t="shared" ref="EE10:EK12" si="142">1-BH10</f>
        <v>0.98699999999999999</v>
      </c>
      <c r="EF10" s="91">
        <f t="shared" si="142"/>
        <v>0.98799999999999999</v>
      </c>
      <c r="EG10" s="91">
        <f t="shared" si="142"/>
        <v>0.98899999999999999</v>
      </c>
      <c r="EH10" s="91">
        <f t="shared" si="142"/>
        <v>0.99</v>
      </c>
      <c r="EI10" s="91">
        <f t="shared" si="142"/>
        <v>0.99</v>
      </c>
      <c r="EJ10" s="91">
        <f t="shared" si="142"/>
        <v>0.99</v>
      </c>
      <c r="EK10" s="91">
        <f t="shared" si="142"/>
        <v>0.99</v>
      </c>
    </row>
    <row r="11" spans="1:141" x14ac:dyDescent="0.25">
      <c r="A11" t="str">
        <f t="shared" si="17"/>
        <v>UrbanBOT</v>
      </c>
      <c r="B11" t="str">
        <f>B6</f>
        <v>Urban</v>
      </c>
      <c r="C11" t="str">
        <f>IFERROR(VLOOKUP(D11,PoolPlan_EnergyProj!$C$89:$D$100,2,FALSE),C10)</f>
        <v>BOT</v>
      </c>
      <c r="D11" t="s">
        <v>148</v>
      </c>
      <c r="E11" s="91">
        <f>1-E10-E12</f>
        <v>0.48</v>
      </c>
      <c r="F11" s="91">
        <f>1-F10-F12</f>
        <v>0.41999999999999993</v>
      </c>
      <c r="G11" s="91">
        <f t="shared" ref="G11:I11" si="143">1-G10-G12</f>
        <v>0.39999999999999997</v>
      </c>
      <c r="H11" s="91">
        <f t="shared" si="143"/>
        <v>0.39999999999999997</v>
      </c>
      <c r="I11" s="91">
        <f t="shared" si="143"/>
        <v>0.64999999999999991</v>
      </c>
      <c r="K11" s="91">
        <f t="shared" ref="K11:K12" si="144">E11</f>
        <v>0.48</v>
      </c>
      <c r="L11" s="91">
        <f t="shared" ref="L11:O12" si="145">($P11-$K11)/($P$4-$K$4)+K11</f>
        <v>0.46799999999999997</v>
      </c>
      <c r="M11" s="91">
        <f t="shared" si="145"/>
        <v>0.45599999999999996</v>
      </c>
      <c r="N11" s="91">
        <f t="shared" si="145"/>
        <v>0.44399999999999995</v>
      </c>
      <c r="O11" s="91">
        <f t="shared" si="145"/>
        <v>0.43199999999999994</v>
      </c>
      <c r="P11" s="91">
        <f t="shared" ref="P11:P12" si="146">F11</f>
        <v>0.41999999999999993</v>
      </c>
      <c r="Q11" s="91">
        <f t="shared" ref="Q11:T12" si="147">($U11-$P11)/($U$4-$P$4)+P11</f>
        <v>0.41599999999999993</v>
      </c>
      <c r="R11" s="91">
        <f t="shared" si="147"/>
        <v>0.41199999999999992</v>
      </c>
      <c r="S11" s="91">
        <f t="shared" si="147"/>
        <v>0.40799999999999992</v>
      </c>
      <c r="T11" s="91">
        <f t="shared" si="147"/>
        <v>0.40399999999999991</v>
      </c>
      <c r="U11" s="91">
        <f t="shared" ref="U11:U12" si="148">G11</f>
        <v>0.39999999999999997</v>
      </c>
      <c r="V11" s="91">
        <f t="shared" ref="V11:V12" si="149">(AE11-U11)/(AE$4-U$4)+U11</f>
        <v>0.39999999999999997</v>
      </c>
      <c r="W11" s="91">
        <f t="shared" ref="W11:W12" si="150">(AE11-U11)/(AE$4-U$4)+V11</f>
        <v>0.39999999999999997</v>
      </c>
      <c r="X11" s="91">
        <f t="shared" ref="X11:X12" si="151">(AE11-U11)/(AE$4-U$4)+W11</f>
        <v>0.39999999999999997</v>
      </c>
      <c r="Y11" s="91">
        <f t="shared" ref="Y11:Y12" si="152">(AE11-U11)/(AE$4-U$4)+X11</f>
        <v>0.39999999999999997</v>
      </c>
      <c r="Z11" s="91">
        <f t="shared" ref="Z11:Z12" si="153">(AE11-U11)/(AE$4-U$4)+Y11</f>
        <v>0.39999999999999997</v>
      </c>
      <c r="AA11" s="91">
        <f t="shared" ref="AA11:AA12" si="154">(AE11-U11)/(AE$4-U$4)+Z11</f>
        <v>0.39999999999999997</v>
      </c>
      <c r="AB11" s="91">
        <f t="shared" ref="AB11:AB12" si="155">(AE11-U11)/(AE$4-U$4)+AA11</f>
        <v>0.39999999999999997</v>
      </c>
      <c r="AC11" s="91">
        <f t="shared" ref="AC11:AC12" si="156">(AE11-U11)/(AE$4-U$4)+AB11</f>
        <v>0.39999999999999997</v>
      </c>
      <c r="AD11" s="91">
        <f t="shared" ref="AD11:AD12" si="157">(AE11-U11)/(AE$4-U$4)+AC11</f>
        <v>0.39999999999999997</v>
      </c>
      <c r="AE11" s="91">
        <f t="shared" ref="AE11:AE12" si="158">H11</f>
        <v>0.39999999999999997</v>
      </c>
      <c r="AF11" s="91">
        <f>(AH11-AE11)/(AH$4-AE$4)+AE11</f>
        <v>0.41249999999999998</v>
      </c>
      <c r="AG11" s="91">
        <f t="shared" ref="AG11:AG12" si="159">(AE11+AH11)/2</f>
        <v>0.52499999999999991</v>
      </c>
      <c r="AH11" s="91">
        <f>I11</f>
        <v>0.64999999999999991</v>
      </c>
      <c r="AJ11" s="91" t="s">
        <v>149</v>
      </c>
      <c r="AK11" s="91">
        <f>AK10</f>
        <v>3.5999999999999997E-2</v>
      </c>
      <c r="AL11" s="97">
        <v>0.15</v>
      </c>
      <c r="AM11" s="91">
        <v>0.1</v>
      </c>
      <c r="AN11" s="91">
        <v>0.08</v>
      </c>
      <c r="AO11" s="91">
        <f>AN11</f>
        <v>0.08</v>
      </c>
      <c r="AP11" s="95" t="str">
        <f>AQ11&amp;" "&amp;AR11&amp;" "&amp;AS11&amp;" "&amp;AT11&amp;" "&amp;AU11&amp;" "&amp;AV11&amp;" "&amp;AW11&amp;" "&amp;AX11&amp;" "&amp;AY11&amp;" "&amp;AZ11&amp;" "&amp;BA11&amp;" "&amp;BB11&amp;" "&amp;BC11&amp;" "&amp;BD11&amp;" "&amp;BE11&amp;" "&amp;BF11&amp;" "&amp;BG11&amp;" "&amp;BH11&amp;" "&amp;BI11&amp;" "&amp;BJ11&amp;" "&amp;BK11&amp;" "&amp;BL11&amp;" "&amp;BM11&amp;" "&amp;BN11&amp;" "</f>
        <v xml:space="preserve">0.15 0.145 0.14 0.135 0.13 0.125 0.12 0.115 0.11 0.105 0.1 0.098 0.096 0.094 0.092 0.09 0.088 0.086 0.084 0.082 0.08 0.08 0.08 0.08 </v>
      </c>
      <c r="AQ11" s="91">
        <f t="shared" ref="AQ11:AQ12" si="160">AL11</f>
        <v>0.15</v>
      </c>
      <c r="AR11" s="91">
        <f t="shared" ref="AR11:AR12" si="161">(BA11-AQ11)/(BA$4-AQ$4)+AQ11</f>
        <v>0.14499999999999999</v>
      </c>
      <c r="AS11" s="91">
        <f t="shared" ref="AS11:AS12" si="162">(BA11-AQ11)/(BA$4-AQ$4)+AR11</f>
        <v>0.13999999999999999</v>
      </c>
      <c r="AT11" s="91">
        <f t="shared" ref="AT11:AT12" si="163">(BA11-AQ11)/(BA$4-AQ$4)+AS11</f>
        <v>0.13499999999999998</v>
      </c>
      <c r="AU11" s="91">
        <f t="shared" ref="AU11:AU12" si="164">(BA11-AQ11)/(BA$4-AQ$4)+AT11</f>
        <v>0.12999999999999998</v>
      </c>
      <c r="AV11" s="91">
        <f t="shared" ref="AV11:AV12" si="165">(BA11-AQ11)/(BA$4-AQ$4)+AU11</f>
        <v>0.12499999999999997</v>
      </c>
      <c r="AW11" s="91">
        <f t="shared" ref="AW11:AW12" si="166">(BA11-AQ11)/(BA$4-AQ$4)+AV11</f>
        <v>0.11999999999999997</v>
      </c>
      <c r="AX11" s="91">
        <f t="shared" ref="AX11:AX12" si="167">(BA11-AQ11)/(BA$4-AQ$4)+AW11</f>
        <v>0.11499999999999996</v>
      </c>
      <c r="AY11" s="91">
        <f t="shared" ref="AY11:AY12" si="168">(BA11-AQ11)/(BA$4-AQ$4)+AX11</f>
        <v>0.10999999999999996</v>
      </c>
      <c r="AZ11" s="91">
        <f t="shared" ref="AZ11:AZ12" si="169">(BA11-AQ11)/(BA$4-AQ$4)+AY11</f>
        <v>0.10499999999999995</v>
      </c>
      <c r="BA11" s="91">
        <f t="shared" ref="BA11:BA12" si="170">AM11</f>
        <v>0.1</v>
      </c>
      <c r="BB11" s="91">
        <f t="shared" ref="BB11:BB12" si="171">(BK11-BA11)/(BK$4-BA$4)+BA11</f>
        <v>9.8000000000000004E-2</v>
      </c>
      <c r="BC11" s="91">
        <f t="shared" ref="BC11:BC12" si="172">(BK11-BA11)/(BK$4-BA$4)+BB11</f>
        <v>9.6000000000000002E-2</v>
      </c>
      <c r="BD11" s="91">
        <f t="shared" ref="BD11:BD12" si="173">(BK11-BA11)/(BK$4-BA$4)+BC11</f>
        <v>9.4E-2</v>
      </c>
      <c r="BE11" s="91">
        <f t="shared" ref="BE11:BE12" si="174">(BK11-BA11)/(BK$4-BA$4)+BD11</f>
        <v>9.1999999999999998E-2</v>
      </c>
      <c r="BF11" s="91">
        <f t="shared" ref="BF11:BF12" si="175">(BK11-BA11)/(BK$4-BA$4)+BE11</f>
        <v>0.09</v>
      </c>
      <c r="BG11" s="91">
        <f t="shared" ref="BG11:BG12" si="176">(BK11-BA11)/(BK$4-BA$4)+BF11</f>
        <v>8.7999999999999995E-2</v>
      </c>
      <c r="BH11" s="91">
        <f t="shared" ref="BH11:BH12" si="177">(BK11-BA11)/(BK$4-BA$4)+BG11</f>
        <v>8.5999999999999993E-2</v>
      </c>
      <c r="BI11" s="91">
        <f t="shared" ref="BI11:BI12" si="178">(BK11-BA11)/(BK$4-BA$4)+BH11</f>
        <v>8.3999999999999991E-2</v>
      </c>
      <c r="BJ11" s="91">
        <f t="shared" ref="BJ11:BJ12" si="179">(BK11-BA11)/(BK$4-BA$4)+BI11</f>
        <v>8.199999999999999E-2</v>
      </c>
      <c r="BK11" s="91">
        <f t="shared" ref="BK11:BK12" si="180">AN11</f>
        <v>0.08</v>
      </c>
      <c r="BL11" s="91">
        <f>(BN11-BK11)/(BN$4-BK$4)+BK11</f>
        <v>0.08</v>
      </c>
      <c r="BM11" s="91">
        <f t="shared" ref="BM11:BM12" si="181">(BK11+BN11)/2</f>
        <v>0.08</v>
      </c>
      <c r="BN11" s="91">
        <f>AO11</f>
        <v>0.08</v>
      </c>
      <c r="BP11" s="17">
        <f ca="1">K11*K13</f>
        <v>2016.96</v>
      </c>
      <c r="BQ11" s="17">
        <f t="shared" ref="BQ11" ca="1" si="182">L11*L13</f>
        <v>2127.06</v>
      </c>
      <c r="BR11" s="17">
        <f t="shared" ref="BR11" ca="1" si="183">M11*M13</f>
        <v>2124.5039999999999</v>
      </c>
      <c r="BS11" s="17">
        <f t="shared" ref="BS11" ca="1" si="184">N11*N13</f>
        <v>2191.14</v>
      </c>
      <c r="BT11" s="17">
        <f t="shared" ref="BT11" ca="1" si="185">O11*O13</f>
        <v>2234.7359999999999</v>
      </c>
      <c r="BU11" s="17">
        <f t="shared" ref="BU11" ca="1" si="186">P11*P13</f>
        <v>2225.1599999999994</v>
      </c>
      <c r="BV11" s="17">
        <f t="shared" ref="BV11" ca="1" si="187">Q11*Q13</f>
        <v>2250.9759999999997</v>
      </c>
      <c r="BW11" s="17">
        <f t="shared" ref="BW11" ca="1" si="188">R11*R13</f>
        <v>2438.6279999999997</v>
      </c>
      <c r="BX11" s="17">
        <f t="shared" ref="BX11" ca="1" si="189">S11*S13</f>
        <v>2548.7759999999994</v>
      </c>
      <c r="BY11" s="17">
        <f t="shared" ref="BY11" ca="1" si="190">T11*T13</f>
        <v>2724.5759999999996</v>
      </c>
      <c r="BZ11" s="17">
        <f t="shared" ref="BZ11" ca="1" si="191">U11*U13</f>
        <v>2739.2</v>
      </c>
      <c r="CA11" s="17">
        <f t="shared" ref="CA11" ca="1" si="192">V11*V13</f>
        <v>2779.6</v>
      </c>
      <c r="CB11" s="17">
        <f t="shared" ref="CB11" ca="1" si="193">W11*W13</f>
        <v>2819.6</v>
      </c>
      <c r="CC11" s="17">
        <f t="shared" ref="CC11" ca="1" si="194">X11*X13</f>
        <v>2858.7999999999997</v>
      </c>
      <c r="CD11" s="17">
        <f t="shared" ref="CD11" ca="1" si="195">Y11*Y13</f>
        <v>2897.2</v>
      </c>
      <c r="CE11" s="17">
        <f t="shared" ref="CE11" ca="1" si="196">Z11*Z13</f>
        <v>2934.3999999999996</v>
      </c>
      <c r="CF11" s="17">
        <f t="shared" ref="CF11" ca="1" si="197">AA11*AA13</f>
        <v>2972.0776473836804</v>
      </c>
      <c r="CG11" s="17">
        <f t="shared" ref="CG11" ca="1" si="198">AB11*AB13</f>
        <v>3010.2390751355347</v>
      </c>
      <c r="CH11" s="17">
        <f t="shared" ref="CH11" ca="1" si="199">AC11*AC13</f>
        <v>3048.8904949874754</v>
      </c>
      <c r="CI11" s="17">
        <f t="shared" ref="CI11" ca="1" si="200">AD11*AD13</f>
        <v>3082.4353212055498</v>
      </c>
      <c r="CJ11" s="17">
        <f t="shared" ref="CJ11" ca="1" si="201">AE11*AE13</f>
        <v>3092.0254839215827</v>
      </c>
      <c r="CK11" s="17">
        <f t="shared" ref="CK11" ca="1" si="202">AF11*AF13</f>
        <v>3230.3409251102239</v>
      </c>
      <c r="CL11" s="17">
        <f t="shared" ref="CL11" ca="1" si="203">AG11*AG13</f>
        <v>4343.4774339214282</v>
      </c>
      <c r="CM11" s="17">
        <f t="shared" ref="CM11" ca="1" si="204">AH11*AH13</f>
        <v>5516.2007524380251</v>
      </c>
      <c r="CN11" s="95" t="str">
        <f t="shared" ca="1" si="116"/>
        <v xml:space="preserve">188.7 200.1 201.1 208.6 214 214.3 218 237.5 249.6 268.3 271.3 275.9 280.5 285 289.5 293.9 298.3 302.8 307.3 311.4 313 327 439.7 558.5 </v>
      </c>
      <c r="CO11" s="96">
        <f ca="1">ROUND(BP11*(1-AQ11)*(1-$AK11)/8.76*(1+CO$2),1)</f>
        <v>188.7</v>
      </c>
      <c r="CP11" s="96">
        <f t="shared" ca="1" si="117"/>
        <v>200.1</v>
      </c>
      <c r="CQ11" s="96">
        <f t="shared" ca="1" si="118"/>
        <v>201.1</v>
      </c>
      <c r="CR11" s="96">
        <f t="shared" ca="1" si="119"/>
        <v>208.6</v>
      </c>
      <c r="CS11" s="96">
        <f t="shared" ca="1" si="120"/>
        <v>214</v>
      </c>
      <c r="CT11" s="96">
        <f t="shared" ca="1" si="121"/>
        <v>214.3</v>
      </c>
      <c r="CU11" s="96">
        <f t="shared" ca="1" si="122"/>
        <v>218</v>
      </c>
      <c r="CV11" s="96">
        <f t="shared" ca="1" si="123"/>
        <v>237.5</v>
      </c>
      <c r="CW11" s="96">
        <f t="shared" ca="1" si="124"/>
        <v>249.6</v>
      </c>
      <c r="CX11" s="96">
        <f t="shared" ca="1" si="125"/>
        <v>268.3</v>
      </c>
      <c r="CY11" s="96">
        <f t="shared" ca="1" si="126"/>
        <v>271.3</v>
      </c>
      <c r="CZ11" s="96">
        <f t="shared" ca="1" si="127"/>
        <v>275.89999999999998</v>
      </c>
      <c r="DA11" s="96">
        <f t="shared" ca="1" si="128"/>
        <v>280.5</v>
      </c>
      <c r="DB11" s="96">
        <f t="shared" ca="1" si="129"/>
        <v>285</v>
      </c>
      <c r="DC11" s="96">
        <f t="shared" ca="1" si="130"/>
        <v>289.5</v>
      </c>
      <c r="DD11" s="96">
        <f t="shared" ca="1" si="131"/>
        <v>293.89999999999998</v>
      </c>
      <c r="DE11" s="96">
        <f t="shared" ca="1" si="132"/>
        <v>298.3</v>
      </c>
      <c r="DF11" s="96">
        <f t="shared" ca="1" si="133"/>
        <v>302.8</v>
      </c>
      <c r="DG11" s="96">
        <f t="shared" ca="1" si="134"/>
        <v>307.3</v>
      </c>
      <c r="DH11" s="96">
        <f t="shared" ca="1" si="135"/>
        <v>311.39999999999998</v>
      </c>
      <c r="DI11" s="96">
        <f t="shared" ca="1" si="136"/>
        <v>313</v>
      </c>
      <c r="DJ11" s="96">
        <f t="shared" ca="1" si="137"/>
        <v>327</v>
      </c>
      <c r="DK11" s="96">
        <f t="shared" ca="1" si="138"/>
        <v>439.7</v>
      </c>
      <c r="DL11" s="96">
        <f t="shared" ca="1" si="139"/>
        <v>558.5</v>
      </c>
      <c r="DM11" s="95" t="str">
        <f t="shared" si="140"/>
        <v xml:space="preserve">0.85 0.855 0.86 0.865 0.87 0.875 0.88 0.885 0.89 0.895 0.9 0.902 0.904 0.906 0.908 0.91 0.912 0.914 0.916 0.918 0.92 0.92 0.92 0.92 </v>
      </c>
      <c r="DN11" s="91">
        <f t="shared" ref="DN11:DN12" si="205">1-AQ11</f>
        <v>0.85</v>
      </c>
      <c r="DO11" s="91">
        <f t="shared" si="141"/>
        <v>0.85499999999999998</v>
      </c>
      <c r="DP11" s="91">
        <f t="shared" si="141"/>
        <v>0.86</v>
      </c>
      <c r="DQ11" s="91">
        <f t="shared" si="141"/>
        <v>0.86499999999999999</v>
      </c>
      <c r="DR11" s="91">
        <f t="shared" si="141"/>
        <v>0.87</v>
      </c>
      <c r="DS11" s="91">
        <f t="shared" si="141"/>
        <v>0.875</v>
      </c>
      <c r="DT11" s="91">
        <f t="shared" si="141"/>
        <v>0.88</v>
      </c>
      <c r="DU11" s="91">
        <f t="shared" si="141"/>
        <v>0.88500000000000001</v>
      </c>
      <c r="DV11" s="91">
        <f t="shared" si="141"/>
        <v>0.89</v>
      </c>
      <c r="DW11" s="91">
        <f t="shared" si="141"/>
        <v>0.89500000000000002</v>
      </c>
      <c r="DX11" s="91">
        <f t="shared" si="141"/>
        <v>0.9</v>
      </c>
      <c r="DY11" s="91">
        <f t="shared" si="141"/>
        <v>0.90200000000000002</v>
      </c>
      <c r="DZ11" s="91">
        <f t="shared" si="141"/>
        <v>0.90400000000000003</v>
      </c>
      <c r="EA11" s="91">
        <f t="shared" si="141"/>
        <v>0.90600000000000003</v>
      </c>
      <c r="EB11" s="91">
        <f t="shared" si="141"/>
        <v>0.90800000000000003</v>
      </c>
      <c r="EC11" s="91">
        <f t="shared" si="141"/>
        <v>0.91</v>
      </c>
      <c r="ED11" s="91">
        <f t="shared" si="141"/>
        <v>0.91200000000000003</v>
      </c>
      <c r="EE11" s="91">
        <f t="shared" si="142"/>
        <v>0.91400000000000003</v>
      </c>
      <c r="EF11" s="91">
        <f t="shared" si="142"/>
        <v>0.91600000000000004</v>
      </c>
      <c r="EG11" s="91">
        <f t="shared" si="142"/>
        <v>0.91800000000000004</v>
      </c>
      <c r="EH11" s="91">
        <f t="shared" si="142"/>
        <v>0.92</v>
      </c>
      <c r="EI11" s="91">
        <f t="shared" si="142"/>
        <v>0.92</v>
      </c>
      <c r="EJ11" s="91">
        <f t="shared" si="142"/>
        <v>0.92</v>
      </c>
      <c r="EK11" s="91">
        <f t="shared" si="142"/>
        <v>0.92</v>
      </c>
    </row>
    <row r="12" spans="1:141" x14ac:dyDescent="0.25">
      <c r="A12" t="str">
        <f t="shared" si="17"/>
        <v>RuralBOT</v>
      </c>
      <c r="B12" t="str">
        <f>B7</f>
        <v>Rural</v>
      </c>
      <c r="C12" t="str">
        <f>IFERROR(VLOOKUP(D12,PoolPlan_EnergyProj!$C$89:$D$100,2,FALSE),C11)</f>
        <v>BOT</v>
      </c>
      <c r="D12" t="s">
        <v>150</v>
      </c>
      <c r="E12" s="91">
        <v>0.02</v>
      </c>
      <c r="F12" s="91">
        <v>0.03</v>
      </c>
      <c r="G12" s="91">
        <v>0.05</v>
      </c>
      <c r="H12" s="91">
        <v>0.05</v>
      </c>
      <c r="I12" s="91">
        <v>0.05</v>
      </c>
      <c r="K12" s="91">
        <f t="shared" si="144"/>
        <v>0.02</v>
      </c>
      <c r="L12" s="91">
        <f t="shared" si="145"/>
        <v>2.1999999999999999E-2</v>
      </c>
      <c r="M12" s="91">
        <f t="shared" si="145"/>
        <v>2.3999999999999997E-2</v>
      </c>
      <c r="N12" s="91">
        <f t="shared" si="145"/>
        <v>2.5999999999999995E-2</v>
      </c>
      <c r="O12" s="91">
        <f t="shared" si="145"/>
        <v>2.7999999999999994E-2</v>
      </c>
      <c r="P12" s="91">
        <f t="shared" si="146"/>
        <v>0.03</v>
      </c>
      <c r="Q12" s="91">
        <f t="shared" si="147"/>
        <v>3.4000000000000002E-2</v>
      </c>
      <c r="R12" s="91">
        <f t="shared" si="147"/>
        <v>3.8000000000000006E-2</v>
      </c>
      <c r="S12" s="91">
        <f t="shared" si="147"/>
        <v>4.200000000000001E-2</v>
      </c>
      <c r="T12" s="91">
        <f t="shared" si="147"/>
        <v>4.6000000000000013E-2</v>
      </c>
      <c r="U12" s="91">
        <f t="shared" si="148"/>
        <v>0.05</v>
      </c>
      <c r="V12" s="91">
        <f t="shared" si="149"/>
        <v>0.05</v>
      </c>
      <c r="W12" s="91">
        <f t="shared" si="150"/>
        <v>0.05</v>
      </c>
      <c r="X12" s="91">
        <f t="shared" si="151"/>
        <v>0.05</v>
      </c>
      <c r="Y12" s="91">
        <f t="shared" si="152"/>
        <v>0.05</v>
      </c>
      <c r="Z12" s="91">
        <f t="shared" si="153"/>
        <v>0.05</v>
      </c>
      <c r="AA12" s="91">
        <f t="shared" si="154"/>
        <v>0.05</v>
      </c>
      <c r="AB12" s="91">
        <f t="shared" si="155"/>
        <v>0.05</v>
      </c>
      <c r="AC12" s="91">
        <f t="shared" si="156"/>
        <v>0.05</v>
      </c>
      <c r="AD12" s="91">
        <f t="shared" si="157"/>
        <v>0.05</v>
      </c>
      <c r="AE12" s="91">
        <f t="shared" si="158"/>
        <v>0.05</v>
      </c>
      <c r="AF12" s="91">
        <f>(AH12-AE12)/(AH$4-AE$4)+AE12</f>
        <v>0.05</v>
      </c>
      <c r="AG12" s="91">
        <f t="shared" si="159"/>
        <v>0.05</v>
      </c>
      <c r="AH12" s="91">
        <f>I12</f>
        <v>0.05</v>
      </c>
      <c r="AJ12" s="98">
        <f>1-((1-AL12)*K12+(1-AL11)*K11+(1-AL10)*K10)*(1-AK10)</f>
        <v>0.12372399999999995</v>
      </c>
      <c r="AK12" s="91">
        <f>AK11</f>
        <v>3.5999999999999997E-2</v>
      </c>
      <c r="AL12" s="91">
        <v>0.2</v>
      </c>
      <c r="AM12" s="91">
        <v>0.2</v>
      </c>
      <c r="AN12" s="91">
        <v>0.2</v>
      </c>
      <c r="AO12" s="91">
        <f>AN12</f>
        <v>0.2</v>
      </c>
      <c r="AP12" s="95" t="str">
        <f>AQ12&amp;" "&amp;AR12&amp;" "&amp;AS12&amp;" "&amp;AT12&amp;" "&amp;AU12&amp;" "&amp;AV12&amp;" "&amp;AW12&amp;" "&amp;AX12&amp;" "&amp;AY12&amp;" "&amp;AZ12&amp;" "&amp;BA12&amp;" "&amp;BB12&amp;" "&amp;BC12&amp;" "&amp;BD12&amp;" "&amp;BE12&amp;" "&amp;BF12&amp;" "&amp;BG12&amp;" "&amp;BH12&amp;" "&amp;BI12&amp;" "&amp;BJ12&amp;" "&amp;BK12&amp;" "&amp;BL12&amp;" "&amp;BM12&amp;" "&amp;BN12&amp;" "</f>
        <v xml:space="preserve">0.2 0.2 0.2 0.2 0.2 0.2 0.2 0.2 0.2 0.2 0.2 0.2 0.2 0.2 0.2 0.2 0.2 0.2 0.2 0.2 0.2 0.2 0.2 0.2 </v>
      </c>
      <c r="AQ12" s="91">
        <f t="shared" si="160"/>
        <v>0.2</v>
      </c>
      <c r="AR12" s="91">
        <f t="shared" si="161"/>
        <v>0.2</v>
      </c>
      <c r="AS12" s="91">
        <f t="shared" si="162"/>
        <v>0.2</v>
      </c>
      <c r="AT12" s="91">
        <f t="shared" si="163"/>
        <v>0.2</v>
      </c>
      <c r="AU12" s="91">
        <f t="shared" si="164"/>
        <v>0.2</v>
      </c>
      <c r="AV12" s="91">
        <f t="shared" si="165"/>
        <v>0.2</v>
      </c>
      <c r="AW12" s="91">
        <f t="shared" si="166"/>
        <v>0.2</v>
      </c>
      <c r="AX12" s="91">
        <f t="shared" si="167"/>
        <v>0.2</v>
      </c>
      <c r="AY12" s="91">
        <f t="shared" si="168"/>
        <v>0.2</v>
      </c>
      <c r="AZ12" s="91">
        <f t="shared" si="169"/>
        <v>0.2</v>
      </c>
      <c r="BA12" s="91">
        <f t="shared" si="170"/>
        <v>0.2</v>
      </c>
      <c r="BB12" s="91">
        <f t="shared" si="171"/>
        <v>0.2</v>
      </c>
      <c r="BC12" s="91">
        <f t="shared" si="172"/>
        <v>0.2</v>
      </c>
      <c r="BD12" s="91">
        <f t="shared" si="173"/>
        <v>0.2</v>
      </c>
      <c r="BE12" s="91">
        <f t="shared" si="174"/>
        <v>0.2</v>
      </c>
      <c r="BF12" s="91">
        <f t="shared" si="175"/>
        <v>0.2</v>
      </c>
      <c r="BG12" s="91">
        <f t="shared" si="176"/>
        <v>0.2</v>
      </c>
      <c r="BH12" s="91">
        <f t="shared" si="177"/>
        <v>0.2</v>
      </c>
      <c r="BI12" s="91">
        <f t="shared" si="178"/>
        <v>0.2</v>
      </c>
      <c r="BJ12" s="91">
        <f t="shared" si="179"/>
        <v>0.2</v>
      </c>
      <c r="BK12" s="91">
        <f t="shared" si="180"/>
        <v>0.2</v>
      </c>
      <c r="BL12" s="91">
        <f>(BN12-BK12)/(BN$4-BK$4)+BK12</f>
        <v>0.2</v>
      </c>
      <c r="BM12" s="91">
        <f t="shared" si="181"/>
        <v>0.2</v>
      </c>
      <c r="BN12" s="91">
        <f>AO12</f>
        <v>0.2</v>
      </c>
      <c r="BP12" s="17">
        <f ca="1">K12*K13</f>
        <v>84.04</v>
      </c>
      <c r="BQ12" s="17">
        <f t="shared" ref="BQ12" ca="1" si="206">L12*L13</f>
        <v>99.99</v>
      </c>
      <c r="BR12" s="17">
        <f t="shared" ref="BR12" ca="1" si="207">M12*M13</f>
        <v>111.81599999999999</v>
      </c>
      <c r="BS12" s="17">
        <f t="shared" ref="BS12" ca="1" si="208">N12*N13</f>
        <v>128.30999999999997</v>
      </c>
      <c r="BT12" s="17">
        <f t="shared" ref="BT12" ca="1" si="209">O12*O13</f>
        <v>144.84399999999997</v>
      </c>
      <c r="BU12" s="17">
        <f t="shared" ref="BU12" ca="1" si="210">P12*P13</f>
        <v>158.94</v>
      </c>
      <c r="BV12" s="17">
        <f t="shared" ref="BV12" ca="1" si="211">Q12*Q13</f>
        <v>183.97400000000002</v>
      </c>
      <c r="BW12" s="17">
        <f t="shared" ref="BW12" ca="1" si="212">R12*R13</f>
        <v>224.92200000000003</v>
      </c>
      <c r="BX12" s="17">
        <f t="shared" ref="BX12" ca="1" si="213">S12*S13</f>
        <v>262.37400000000008</v>
      </c>
      <c r="BY12" s="17">
        <f t="shared" ref="BY12" ca="1" si="214">T12*T13</f>
        <v>310.2240000000001</v>
      </c>
      <c r="BZ12" s="17">
        <f t="shared" ref="BZ12" ca="1" si="215">U12*U13</f>
        <v>342.40000000000003</v>
      </c>
      <c r="CA12" s="17">
        <f t="shared" ref="CA12" ca="1" si="216">V12*V13</f>
        <v>347.45000000000005</v>
      </c>
      <c r="CB12" s="17">
        <f t="shared" ref="CB12" ca="1" si="217">W12*W13</f>
        <v>352.45000000000005</v>
      </c>
      <c r="CC12" s="17">
        <f t="shared" ref="CC12" ca="1" si="218">X12*X13</f>
        <v>357.35</v>
      </c>
      <c r="CD12" s="17">
        <f t="shared" ref="CD12" ca="1" si="219">Y12*Y13</f>
        <v>362.15000000000003</v>
      </c>
      <c r="CE12" s="17">
        <f t="shared" ref="CE12" ca="1" si="220">Z12*Z13</f>
        <v>366.8</v>
      </c>
      <c r="CF12" s="17">
        <f t="shared" ref="CF12" ca="1" si="221">AA12*AA13</f>
        <v>371.50970592296011</v>
      </c>
      <c r="CG12" s="17">
        <f t="shared" ref="CG12" ca="1" si="222">AB12*AB13</f>
        <v>376.27988439194189</v>
      </c>
      <c r="CH12" s="17">
        <f t="shared" ref="CH12" ca="1" si="223">AC12*AC13</f>
        <v>381.11131187343449</v>
      </c>
      <c r="CI12" s="17">
        <f t="shared" ref="CI12" ca="1" si="224">AD12*AD13</f>
        <v>385.30441515069379</v>
      </c>
      <c r="CJ12" s="17">
        <f t="shared" ref="CJ12" ca="1" si="225">AE12*AE13</f>
        <v>386.50318549019789</v>
      </c>
      <c r="CK12" s="17">
        <f t="shared" ref="CK12" ca="1" si="226">AF12*AF13</f>
        <v>391.55647577093629</v>
      </c>
      <c r="CL12" s="17">
        <f t="shared" ref="CL12" ca="1" si="227">AG12*AG13</f>
        <v>413.66451751632661</v>
      </c>
      <c r="CM12" s="17">
        <f t="shared" ref="CM12" ca="1" si="228">AH12*AH13</f>
        <v>424.3231348029251</v>
      </c>
      <c r="CN12" s="95" t="str">
        <f t="shared" ca="1" si="116"/>
        <v xml:space="preserve">7.4 8.8 9.8 11.3 12.8 14 16.2 19.8 23.1 27.3 30.1 30.6 31 31.5 31.9 32.3 32.7 33.1 33.6 33.9 34 34.5 36.4 37.4 </v>
      </c>
      <c r="CO12" s="96">
        <f ca="1">ROUND(BP12*(1-AQ12)*(1-$AK12)/8.76*(1+CO$2),1)</f>
        <v>7.4</v>
      </c>
      <c r="CP12" s="96">
        <f t="shared" ca="1" si="117"/>
        <v>8.8000000000000007</v>
      </c>
      <c r="CQ12" s="96">
        <f t="shared" ca="1" si="118"/>
        <v>9.8000000000000007</v>
      </c>
      <c r="CR12" s="96">
        <f t="shared" ca="1" si="119"/>
        <v>11.3</v>
      </c>
      <c r="CS12" s="96">
        <f t="shared" ca="1" si="120"/>
        <v>12.8</v>
      </c>
      <c r="CT12" s="96">
        <f t="shared" ca="1" si="121"/>
        <v>14</v>
      </c>
      <c r="CU12" s="96">
        <f t="shared" ca="1" si="122"/>
        <v>16.2</v>
      </c>
      <c r="CV12" s="96">
        <f t="shared" ca="1" si="123"/>
        <v>19.8</v>
      </c>
      <c r="CW12" s="96">
        <f t="shared" ca="1" si="124"/>
        <v>23.1</v>
      </c>
      <c r="CX12" s="96">
        <f t="shared" ca="1" si="125"/>
        <v>27.3</v>
      </c>
      <c r="CY12" s="96">
        <f t="shared" ca="1" si="126"/>
        <v>30.1</v>
      </c>
      <c r="CZ12" s="96">
        <f t="shared" ca="1" si="127"/>
        <v>30.6</v>
      </c>
      <c r="DA12" s="96">
        <f t="shared" ca="1" si="128"/>
        <v>31</v>
      </c>
      <c r="DB12" s="96">
        <f t="shared" ca="1" si="129"/>
        <v>31.5</v>
      </c>
      <c r="DC12" s="96">
        <f t="shared" ca="1" si="130"/>
        <v>31.9</v>
      </c>
      <c r="DD12" s="96">
        <f t="shared" ca="1" si="131"/>
        <v>32.299999999999997</v>
      </c>
      <c r="DE12" s="96">
        <f t="shared" ca="1" si="132"/>
        <v>32.700000000000003</v>
      </c>
      <c r="DF12" s="96">
        <f t="shared" ca="1" si="133"/>
        <v>33.1</v>
      </c>
      <c r="DG12" s="96">
        <f t="shared" ca="1" si="134"/>
        <v>33.6</v>
      </c>
      <c r="DH12" s="96">
        <f t="shared" ca="1" si="135"/>
        <v>33.9</v>
      </c>
      <c r="DI12" s="96">
        <f t="shared" ca="1" si="136"/>
        <v>34</v>
      </c>
      <c r="DJ12" s="96">
        <f t="shared" ca="1" si="137"/>
        <v>34.5</v>
      </c>
      <c r="DK12" s="96">
        <f t="shared" ca="1" si="138"/>
        <v>36.4</v>
      </c>
      <c r="DL12" s="96">
        <f t="shared" ca="1" si="139"/>
        <v>37.4</v>
      </c>
      <c r="DM12" s="95" t="str">
        <f t="shared" si="140"/>
        <v xml:space="preserve">0.8 0.8 0.8 0.8 0.8 0.8 0.8 0.8 0.8 0.8 0.8 0.8 0.8 0.8 0.8 0.8 0.8 0.8 0.8 0.8 0.8 0.8 0.8 0.8 </v>
      </c>
      <c r="DN12" s="91">
        <f t="shared" si="205"/>
        <v>0.8</v>
      </c>
      <c r="DO12" s="91">
        <f t="shared" si="141"/>
        <v>0.8</v>
      </c>
      <c r="DP12" s="91">
        <f t="shared" si="141"/>
        <v>0.8</v>
      </c>
      <c r="DQ12" s="91">
        <f t="shared" si="141"/>
        <v>0.8</v>
      </c>
      <c r="DR12" s="91">
        <f t="shared" si="141"/>
        <v>0.8</v>
      </c>
      <c r="DS12" s="91">
        <f t="shared" si="141"/>
        <v>0.8</v>
      </c>
      <c r="DT12" s="91">
        <f t="shared" si="141"/>
        <v>0.8</v>
      </c>
      <c r="DU12" s="91">
        <f t="shared" si="141"/>
        <v>0.8</v>
      </c>
      <c r="DV12" s="91">
        <f t="shared" si="141"/>
        <v>0.8</v>
      </c>
      <c r="DW12" s="91">
        <f t="shared" si="141"/>
        <v>0.8</v>
      </c>
      <c r="DX12" s="91">
        <f t="shared" si="141"/>
        <v>0.8</v>
      </c>
      <c r="DY12" s="91">
        <f t="shared" si="141"/>
        <v>0.8</v>
      </c>
      <c r="DZ12" s="91">
        <f t="shared" si="141"/>
        <v>0.8</v>
      </c>
      <c r="EA12" s="91">
        <f t="shared" si="141"/>
        <v>0.8</v>
      </c>
      <c r="EB12" s="91">
        <f t="shared" si="141"/>
        <v>0.8</v>
      </c>
      <c r="EC12" s="91">
        <f t="shared" si="141"/>
        <v>0.8</v>
      </c>
      <c r="ED12" s="91">
        <f t="shared" si="141"/>
        <v>0.8</v>
      </c>
      <c r="EE12" s="91">
        <f t="shared" si="142"/>
        <v>0.8</v>
      </c>
      <c r="EF12" s="91">
        <f t="shared" si="142"/>
        <v>0.8</v>
      </c>
      <c r="EG12" s="91">
        <f t="shared" si="142"/>
        <v>0.8</v>
      </c>
      <c r="EH12" s="91">
        <f t="shared" si="142"/>
        <v>0.8</v>
      </c>
      <c r="EI12" s="91">
        <f t="shared" si="142"/>
        <v>0.8</v>
      </c>
      <c r="EJ12" s="91">
        <f t="shared" si="142"/>
        <v>0.8</v>
      </c>
      <c r="EK12" s="91">
        <f t="shared" si="142"/>
        <v>0.8</v>
      </c>
    </row>
    <row r="13" spans="1:141" x14ac:dyDescent="0.25">
      <c r="A13" t="str">
        <f t="shared" si="17"/>
        <v>BOT</v>
      </c>
      <c r="C13" t="str">
        <f>IFERROR(VLOOKUP(D13,PoolPlan_EnergyProj!$C$89:$D$100,2,FALSE),C12)</f>
        <v>BOT</v>
      </c>
      <c r="D13" t="s">
        <v>151</v>
      </c>
      <c r="K13" s="17">
        <f ca="1">OFFSET(PoolPlan_EnergyProj!$B$6,MATCH(K9,PoolPlan_EnergyProj!$B$7:$B$30),MATCH($C13,PoolPlan_EnergyProj!$C$1:$N$1,0))</f>
        <v>4202</v>
      </c>
      <c r="L13" s="17">
        <f ca="1">OFFSET(PoolPlan_EnergyProj!$B$6,MATCH(L9,PoolPlan_EnergyProj!$B$7:$B$30),MATCH($C13,PoolPlan_EnergyProj!$C$1:$N$1,0))</f>
        <v>4545</v>
      </c>
      <c r="M13" s="17">
        <f ca="1">OFFSET(PoolPlan_EnergyProj!$B$6,MATCH(M9,PoolPlan_EnergyProj!$B$7:$B$30),MATCH($C13,PoolPlan_EnergyProj!$C$1:$N$1,0))</f>
        <v>4659</v>
      </c>
      <c r="N13" s="17">
        <f ca="1">OFFSET(PoolPlan_EnergyProj!$B$6,MATCH(N9,PoolPlan_EnergyProj!$B$7:$B$30),MATCH($C13,PoolPlan_EnergyProj!$C$1:$N$1,0))</f>
        <v>4935</v>
      </c>
      <c r="O13" s="17">
        <f ca="1">OFFSET(PoolPlan_EnergyProj!$B$6,MATCH(O9,PoolPlan_EnergyProj!$B$7:$B$30),MATCH($C13,PoolPlan_EnergyProj!$C$1:$N$1,0))</f>
        <v>5173</v>
      </c>
      <c r="P13" s="17">
        <f ca="1">OFFSET(PoolPlan_EnergyProj!$B$6,MATCH(P9,PoolPlan_EnergyProj!$B$7:$B$30),MATCH($C13,PoolPlan_EnergyProj!$C$1:$N$1,0))</f>
        <v>5298</v>
      </c>
      <c r="Q13" s="17">
        <f ca="1">OFFSET(PoolPlan_EnergyProj!$B$6,MATCH(Q9,PoolPlan_EnergyProj!$B$7:$B$30),MATCH($C13,PoolPlan_EnergyProj!$C$1:$N$1,0))</f>
        <v>5411</v>
      </c>
      <c r="R13" s="17">
        <f ca="1">OFFSET(PoolPlan_EnergyProj!$B$6,MATCH(R9,PoolPlan_EnergyProj!$B$7:$B$30),MATCH($C13,PoolPlan_EnergyProj!$C$1:$N$1,0))</f>
        <v>5919</v>
      </c>
      <c r="S13" s="17">
        <f ca="1">OFFSET(PoolPlan_EnergyProj!$B$6,MATCH(S9,PoolPlan_EnergyProj!$B$7:$B$30),MATCH($C13,PoolPlan_EnergyProj!$C$1:$N$1,0))</f>
        <v>6247</v>
      </c>
      <c r="T13" s="17">
        <f ca="1">OFFSET(PoolPlan_EnergyProj!$B$6,MATCH(T9,PoolPlan_EnergyProj!$B$7:$B$30),MATCH($C13,PoolPlan_EnergyProj!$C$1:$N$1,0))</f>
        <v>6744</v>
      </c>
      <c r="U13" s="17">
        <f ca="1">OFFSET(PoolPlan_EnergyProj!$B$6,MATCH(U9,PoolPlan_EnergyProj!$B$7:$B$30),MATCH($C13,PoolPlan_EnergyProj!$C$1:$N$1,0))</f>
        <v>6848</v>
      </c>
      <c r="V13" s="17">
        <f ca="1">OFFSET(PoolPlan_EnergyProj!$B$6,MATCH(V9,PoolPlan_EnergyProj!$B$7:$B$30),MATCH($C13,PoolPlan_EnergyProj!$C$1:$N$1,0))</f>
        <v>6949</v>
      </c>
      <c r="W13" s="17">
        <f ca="1">OFFSET(PoolPlan_EnergyProj!$B$6,MATCH(W9,PoolPlan_EnergyProj!$B$7:$B$30),MATCH($C13,PoolPlan_EnergyProj!$C$1:$N$1,0))</f>
        <v>7049</v>
      </c>
      <c r="X13" s="17">
        <f ca="1">OFFSET(PoolPlan_EnergyProj!$B$6,MATCH(X9,PoolPlan_EnergyProj!$B$7:$B$30),MATCH($C13,PoolPlan_EnergyProj!$C$1:$N$1,0))</f>
        <v>7147</v>
      </c>
      <c r="Y13" s="17">
        <f ca="1">OFFSET(PoolPlan_EnergyProj!$B$6,MATCH(Y9,PoolPlan_EnergyProj!$B$7:$B$30),MATCH($C13,PoolPlan_EnergyProj!$C$1:$N$1,0))</f>
        <v>7243</v>
      </c>
      <c r="Z13" s="17">
        <f ca="1">OFFSET(PoolPlan_EnergyProj!$B$6,MATCH(Z9,PoolPlan_EnergyProj!$B$7:$B$30),MATCH($C13,PoolPlan_EnergyProj!$C$1:$N$1,0))</f>
        <v>7336</v>
      </c>
      <c r="AA13" s="17">
        <f ca="1">OFFSET(PoolPlan_EnergyProj!$B$6,MATCH(AA9,PoolPlan_EnergyProj!$B$7:$B$30),MATCH($C13,PoolPlan_EnergyProj!$C$1:$N$1,0))</f>
        <v>7430.1941184592015</v>
      </c>
      <c r="AB13" s="17">
        <f ca="1">OFFSET(PoolPlan_EnergyProj!$B$6,MATCH(AB9,PoolPlan_EnergyProj!$B$7:$B$30),MATCH($C13,PoolPlan_EnergyProj!$C$1:$N$1,0))</f>
        <v>7525.5976878388374</v>
      </c>
      <c r="AC13" s="17">
        <f ca="1">OFFSET(PoolPlan_EnergyProj!$B$6,MATCH(AC9,PoolPlan_EnergyProj!$B$7:$B$30),MATCH($C13,PoolPlan_EnergyProj!$C$1:$N$1,0))</f>
        <v>7622.2262374686889</v>
      </c>
      <c r="AD13" s="17">
        <f ca="1">OFFSET(PoolPlan_EnergyProj!$B$6,MATCH(AD9,PoolPlan_EnergyProj!$B$7:$B$30),MATCH($C13,PoolPlan_EnergyProj!$C$1:$N$1,0))</f>
        <v>7706.0883030138757</v>
      </c>
      <c r="AE13" s="17">
        <f ca="1">OFFSET(PoolPlan_EnergyProj!$B$6,MATCH(AE9,PoolPlan_EnergyProj!$B$7:$B$30),MATCH($C13,PoolPlan_EnergyProj!$C$1:$N$1,0))</f>
        <v>7730.063709803957</v>
      </c>
      <c r="AF13" s="17">
        <f ca="1">OFFSET(PoolPlan_EnergyProj!$B$6,MATCH(AF9,PoolPlan_EnergyProj!$B$7:$B$30),MATCH($C13,PoolPlan_EnergyProj!$C$1:$N$1,0))</f>
        <v>7831.1295154187255</v>
      </c>
      <c r="AG13" s="17">
        <f ca="1">OFFSET(PoolPlan_EnergyProj!$B$6,MATCH(AG9,PoolPlan_EnergyProj!$B$7:$B$30),MATCH($C13,PoolPlan_EnergyProj!$C$1:$N$1,0))</f>
        <v>8273.2903503265316</v>
      </c>
      <c r="AH13" s="17">
        <f ca="1">OFFSET(PoolPlan_EnergyProj!$B$6,MATCH(AH9,PoolPlan_EnergyProj!$B$7:$B$30),MATCH($C13,PoolPlan_EnergyProj!$C$1:$N$1,0))</f>
        <v>8486.462696058501</v>
      </c>
      <c r="BP13" s="17">
        <f ca="1">SUM(BP10:BP12)</f>
        <v>4202</v>
      </c>
      <c r="BQ13" s="17">
        <f t="shared" ref="BQ13:CM13" ca="1" si="229">SUM(BQ10:BQ12)</f>
        <v>4545</v>
      </c>
      <c r="BR13" s="17">
        <f t="shared" ca="1" si="229"/>
        <v>4659</v>
      </c>
      <c r="BS13" s="17">
        <f t="shared" ca="1" si="229"/>
        <v>4935.0000000000009</v>
      </c>
      <c r="BT13" s="17">
        <f t="shared" ca="1" si="229"/>
        <v>5173</v>
      </c>
      <c r="BU13" s="17">
        <f t="shared" ca="1" si="229"/>
        <v>5297.9999999999991</v>
      </c>
      <c r="BV13" s="17">
        <f t="shared" ca="1" si="229"/>
        <v>5411</v>
      </c>
      <c r="BW13" s="17">
        <f t="shared" ca="1" si="229"/>
        <v>5919</v>
      </c>
      <c r="BX13" s="17">
        <f t="shared" ca="1" si="229"/>
        <v>6247</v>
      </c>
      <c r="BY13" s="17">
        <f t="shared" ca="1" si="229"/>
        <v>6744</v>
      </c>
      <c r="BZ13" s="17">
        <f t="shared" ca="1" si="229"/>
        <v>6848</v>
      </c>
      <c r="CA13" s="17">
        <f t="shared" ca="1" si="229"/>
        <v>6949</v>
      </c>
      <c r="CB13" s="17">
        <f t="shared" ca="1" si="229"/>
        <v>7049</v>
      </c>
      <c r="CC13" s="17">
        <f t="shared" ca="1" si="229"/>
        <v>7147</v>
      </c>
      <c r="CD13" s="17">
        <f t="shared" ca="1" si="229"/>
        <v>7243</v>
      </c>
      <c r="CE13" s="17">
        <f t="shared" ca="1" si="229"/>
        <v>7336</v>
      </c>
      <c r="CF13" s="17">
        <f t="shared" ca="1" si="229"/>
        <v>7430.1941184592024</v>
      </c>
      <c r="CG13" s="17">
        <f t="shared" ca="1" si="229"/>
        <v>7525.5976878388365</v>
      </c>
      <c r="CH13" s="17">
        <f t="shared" ca="1" si="229"/>
        <v>7622.2262374686898</v>
      </c>
      <c r="CI13" s="17">
        <f t="shared" ca="1" si="229"/>
        <v>7706.0883030138748</v>
      </c>
      <c r="CJ13" s="17">
        <f t="shared" ca="1" si="229"/>
        <v>7730.0637098039579</v>
      </c>
      <c r="CK13" s="17">
        <f t="shared" ca="1" si="229"/>
        <v>7831.1295154187255</v>
      </c>
      <c r="CL13" s="17">
        <f t="shared" ca="1" si="229"/>
        <v>8273.2903503265316</v>
      </c>
      <c r="CM13" s="17">
        <f t="shared" ca="1" si="229"/>
        <v>8486.462696058501</v>
      </c>
    </row>
    <row r="14" spans="1:141" x14ac:dyDescent="0.25">
      <c r="A14" t="str">
        <f t="shared" si="17"/>
        <v>DRC</v>
      </c>
      <c r="C14" t="str">
        <f>IFERROR(VLOOKUP(D14,PoolPlan_EnergyProj!$C$89:$D$100,2,FALSE),C13)</f>
        <v>DRC</v>
      </c>
      <c r="D14" s="93" t="s">
        <v>15</v>
      </c>
      <c r="E14">
        <v>2010</v>
      </c>
      <c r="F14">
        <v>2015</v>
      </c>
      <c r="G14">
        <v>2020</v>
      </c>
      <c r="H14">
        <v>2030</v>
      </c>
      <c r="I14">
        <f>I9</f>
        <v>2050</v>
      </c>
      <c r="K14">
        <v>2010</v>
      </c>
      <c r="L14">
        <f>K14+1</f>
        <v>2011</v>
      </c>
      <c r="M14">
        <f t="shared" ref="M14:AF14" si="230">L14+1</f>
        <v>2012</v>
      </c>
      <c r="N14">
        <f t="shared" si="230"/>
        <v>2013</v>
      </c>
      <c r="O14">
        <f t="shared" si="230"/>
        <v>2014</v>
      </c>
      <c r="P14">
        <f t="shared" si="230"/>
        <v>2015</v>
      </c>
      <c r="Q14">
        <f t="shared" si="230"/>
        <v>2016</v>
      </c>
      <c r="R14">
        <f t="shared" si="230"/>
        <v>2017</v>
      </c>
      <c r="S14">
        <f t="shared" si="230"/>
        <v>2018</v>
      </c>
      <c r="T14">
        <f t="shared" si="230"/>
        <v>2019</v>
      </c>
      <c r="U14">
        <f t="shared" si="230"/>
        <v>2020</v>
      </c>
      <c r="V14">
        <f t="shared" si="230"/>
        <v>2021</v>
      </c>
      <c r="W14">
        <f t="shared" si="230"/>
        <v>2022</v>
      </c>
      <c r="X14">
        <f t="shared" si="230"/>
        <v>2023</v>
      </c>
      <c r="Y14">
        <f t="shared" si="230"/>
        <v>2024</v>
      </c>
      <c r="Z14">
        <f t="shared" si="230"/>
        <v>2025</v>
      </c>
      <c r="AA14">
        <f t="shared" si="230"/>
        <v>2026</v>
      </c>
      <c r="AB14">
        <f t="shared" si="230"/>
        <v>2027</v>
      </c>
      <c r="AC14">
        <f t="shared" si="230"/>
        <v>2028</v>
      </c>
      <c r="AD14">
        <f t="shared" si="230"/>
        <v>2029</v>
      </c>
      <c r="AE14">
        <f t="shared" si="230"/>
        <v>2030</v>
      </c>
      <c r="AF14">
        <f t="shared" si="230"/>
        <v>2031</v>
      </c>
      <c r="AG14">
        <v>2040</v>
      </c>
      <c r="AH14">
        <v>2050</v>
      </c>
      <c r="AL14">
        <f>E14</f>
        <v>2010</v>
      </c>
      <c r="AM14">
        <f>G14</f>
        <v>2020</v>
      </c>
      <c r="AN14">
        <f>H14</f>
        <v>2030</v>
      </c>
      <c r="AO14">
        <f>I14</f>
        <v>2050</v>
      </c>
      <c r="AQ14">
        <v>2010</v>
      </c>
      <c r="AR14">
        <f>AQ14+1</f>
        <v>2011</v>
      </c>
      <c r="AS14">
        <f t="shared" ref="AS14:BL14" si="231">AR14+1</f>
        <v>2012</v>
      </c>
      <c r="AT14">
        <f t="shared" si="231"/>
        <v>2013</v>
      </c>
      <c r="AU14">
        <f t="shared" si="231"/>
        <v>2014</v>
      </c>
      <c r="AV14">
        <f t="shared" si="231"/>
        <v>2015</v>
      </c>
      <c r="AW14">
        <f t="shared" si="231"/>
        <v>2016</v>
      </c>
      <c r="AX14">
        <f t="shared" si="231"/>
        <v>2017</v>
      </c>
      <c r="AY14">
        <f t="shared" si="231"/>
        <v>2018</v>
      </c>
      <c r="AZ14">
        <f t="shared" si="231"/>
        <v>2019</v>
      </c>
      <c r="BA14">
        <f t="shared" si="231"/>
        <v>2020</v>
      </c>
      <c r="BB14">
        <f t="shared" si="231"/>
        <v>2021</v>
      </c>
      <c r="BC14">
        <f t="shared" si="231"/>
        <v>2022</v>
      </c>
      <c r="BD14">
        <f t="shared" si="231"/>
        <v>2023</v>
      </c>
      <c r="BE14">
        <f t="shared" si="231"/>
        <v>2024</v>
      </c>
      <c r="BF14">
        <f t="shared" si="231"/>
        <v>2025</v>
      </c>
      <c r="BG14">
        <f t="shared" si="231"/>
        <v>2026</v>
      </c>
      <c r="BH14">
        <f t="shared" si="231"/>
        <v>2027</v>
      </c>
      <c r="BI14">
        <f t="shared" si="231"/>
        <v>2028</v>
      </c>
      <c r="BJ14">
        <f t="shared" si="231"/>
        <v>2029</v>
      </c>
      <c r="BK14">
        <f t="shared" si="231"/>
        <v>2030</v>
      </c>
      <c r="BL14">
        <f t="shared" si="231"/>
        <v>2031</v>
      </c>
      <c r="BM14">
        <v>2040</v>
      </c>
      <c r="BN14">
        <v>2050</v>
      </c>
      <c r="BP14">
        <f>AQ14</f>
        <v>2010</v>
      </c>
      <c r="BQ14">
        <f t="shared" ref="BQ14:CM14" si="232">AR14</f>
        <v>2011</v>
      </c>
      <c r="BR14">
        <f t="shared" si="232"/>
        <v>2012</v>
      </c>
      <c r="BS14">
        <f t="shared" si="232"/>
        <v>2013</v>
      </c>
      <c r="BT14">
        <f t="shared" si="232"/>
        <v>2014</v>
      </c>
      <c r="BU14">
        <f t="shared" si="232"/>
        <v>2015</v>
      </c>
      <c r="BV14">
        <f t="shared" si="232"/>
        <v>2016</v>
      </c>
      <c r="BW14">
        <f t="shared" si="232"/>
        <v>2017</v>
      </c>
      <c r="BX14">
        <f t="shared" si="232"/>
        <v>2018</v>
      </c>
      <c r="BY14">
        <f t="shared" si="232"/>
        <v>2019</v>
      </c>
      <c r="BZ14">
        <f t="shared" si="232"/>
        <v>2020</v>
      </c>
      <c r="CA14">
        <f t="shared" si="232"/>
        <v>2021</v>
      </c>
      <c r="CB14">
        <f t="shared" si="232"/>
        <v>2022</v>
      </c>
      <c r="CC14">
        <f t="shared" si="232"/>
        <v>2023</v>
      </c>
      <c r="CD14">
        <f t="shared" si="232"/>
        <v>2024</v>
      </c>
      <c r="CE14">
        <f t="shared" si="232"/>
        <v>2025</v>
      </c>
      <c r="CF14">
        <f t="shared" si="232"/>
        <v>2026</v>
      </c>
      <c r="CG14">
        <f t="shared" si="232"/>
        <v>2027</v>
      </c>
      <c r="CH14">
        <f t="shared" si="232"/>
        <v>2028</v>
      </c>
      <c r="CI14">
        <f t="shared" si="232"/>
        <v>2029</v>
      </c>
      <c r="CJ14">
        <f t="shared" si="232"/>
        <v>2030</v>
      </c>
      <c r="CK14">
        <f t="shared" si="232"/>
        <v>2031</v>
      </c>
      <c r="CL14">
        <f t="shared" si="232"/>
        <v>2040</v>
      </c>
      <c r="CM14">
        <f t="shared" si="232"/>
        <v>2050</v>
      </c>
      <c r="CO14">
        <f>BP14</f>
        <v>2010</v>
      </c>
      <c r="CP14">
        <f t="shared" ref="CP14:DD14" si="233">BQ14</f>
        <v>2011</v>
      </c>
      <c r="CQ14">
        <f t="shared" si="233"/>
        <v>2012</v>
      </c>
      <c r="CR14">
        <f t="shared" si="233"/>
        <v>2013</v>
      </c>
      <c r="CS14">
        <f t="shared" si="233"/>
        <v>2014</v>
      </c>
      <c r="CT14">
        <f t="shared" si="233"/>
        <v>2015</v>
      </c>
      <c r="CU14">
        <f t="shared" si="233"/>
        <v>2016</v>
      </c>
      <c r="CV14">
        <f t="shared" si="233"/>
        <v>2017</v>
      </c>
      <c r="CW14">
        <f t="shared" si="233"/>
        <v>2018</v>
      </c>
      <c r="CX14">
        <f t="shared" si="233"/>
        <v>2019</v>
      </c>
      <c r="CY14">
        <f t="shared" si="233"/>
        <v>2020</v>
      </c>
      <c r="CZ14">
        <f t="shared" si="233"/>
        <v>2021</v>
      </c>
      <c r="DA14">
        <f t="shared" si="233"/>
        <v>2022</v>
      </c>
      <c r="DB14">
        <f t="shared" si="233"/>
        <v>2023</v>
      </c>
      <c r="DC14">
        <f t="shared" si="233"/>
        <v>2024</v>
      </c>
      <c r="DD14">
        <f t="shared" si="233"/>
        <v>2025</v>
      </c>
      <c r="DE14">
        <f>CF14</f>
        <v>2026</v>
      </c>
      <c r="DF14">
        <f t="shared" ref="DF14:DG14" si="234">CG14</f>
        <v>2027</v>
      </c>
      <c r="DG14">
        <f t="shared" si="234"/>
        <v>2028</v>
      </c>
      <c r="DH14">
        <f>CI14</f>
        <v>2029</v>
      </c>
      <c r="DI14">
        <f t="shared" ref="DI14" si="235">CJ14</f>
        <v>2030</v>
      </c>
      <c r="DJ14">
        <f>CK14</f>
        <v>2031</v>
      </c>
      <c r="DK14">
        <f>CL14</f>
        <v>2040</v>
      </c>
      <c r="DL14">
        <f t="shared" ref="DL14" si="236">CM14</f>
        <v>2050</v>
      </c>
    </row>
    <row r="15" spans="1:141" x14ac:dyDescent="0.25">
      <c r="A15" t="str">
        <f t="shared" si="17"/>
        <v>IndustryDRC</v>
      </c>
      <c r="B15" t="str">
        <f t="shared" ref="B15:B17" si="237">B10</f>
        <v>Industry</v>
      </c>
      <c r="C15" t="str">
        <f>IFERROR(VLOOKUP(D15,PoolPlan_EnergyProj!$C$89:$D$100,2,FALSE),C14)</f>
        <v>DRC</v>
      </c>
      <c r="D15" t="s">
        <v>146</v>
      </c>
      <c r="E15" s="91">
        <v>0.45</v>
      </c>
      <c r="F15" s="91">
        <v>0.55000000000000004</v>
      </c>
      <c r="G15" s="91">
        <v>0.65</v>
      </c>
      <c r="H15" s="91">
        <v>0.7</v>
      </c>
      <c r="I15" s="91">
        <v>0.7</v>
      </c>
      <c r="K15" s="91">
        <f>E15</f>
        <v>0.45</v>
      </c>
      <c r="L15" s="91">
        <f>($P15-$K15)/($P$4-$K$4)+K15</f>
        <v>0.47000000000000003</v>
      </c>
      <c r="M15" s="91">
        <f t="shared" ref="M15:O15" si="238">($P15-$K15)/($P$4-$K$4)+L15</f>
        <v>0.49000000000000005</v>
      </c>
      <c r="N15" s="91">
        <f t="shared" si="238"/>
        <v>0.51</v>
      </c>
      <c r="O15" s="91">
        <f t="shared" si="238"/>
        <v>0.53</v>
      </c>
      <c r="P15" s="91">
        <f>F15</f>
        <v>0.55000000000000004</v>
      </c>
      <c r="Q15" s="91">
        <f>($U15-$P15)/($U$4-$P$4)+P15</f>
        <v>0.57000000000000006</v>
      </c>
      <c r="R15" s="91">
        <f t="shared" ref="R15:T15" si="239">($U15-$P15)/($U$4-$P$4)+Q15</f>
        <v>0.59000000000000008</v>
      </c>
      <c r="S15" s="91">
        <f t="shared" si="239"/>
        <v>0.6100000000000001</v>
      </c>
      <c r="T15" s="91">
        <f t="shared" si="239"/>
        <v>0.63000000000000012</v>
      </c>
      <c r="U15" s="91">
        <f>G15</f>
        <v>0.65</v>
      </c>
      <c r="V15" s="91">
        <f>(AE15-U15)/(AE$4-U$4)+U15</f>
        <v>0.65500000000000003</v>
      </c>
      <c r="W15" s="91">
        <f>(AE15-U15)/(AE$4-U$4)+V15</f>
        <v>0.66</v>
      </c>
      <c r="X15" s="91">
        <f>(AE15-U15)/(AE$4-U$4)+W15</f>
        <v>0.66500000000000004</v>
      </c>
      <c r="Y15" s="91">
        <f>(AE15-U15)/(AE$4-U$4)+X15</f>
        <v>0.67</v>
      </c>
      <c r="Z15" s="91">
        <f>(AE15-U15)/(AE$4-U$4)+Y15</f>
        <v>0.67500000000000004</v>
      </c>
      <c r="AA15" s="91">
        <f>(AE15-U15)/(AE$4-U$4)+Z15</f>
        <v>0.68</v>
      </c>
      <c r="AB15" s="91">
        <f>(AE15-U15)/(AE$4-U$4)+AA15</f>
        <v>0.68500000000000005</v>
      </c>
      <c r="AC15" s="91">
        <f>(AE15-U15)/(AE$4-U$4)+AB15</f>
        <v>0.69000000000000006</v>
      </c>
      <c r="AD15" s="91">
        <f>(AE15-U15)/(AE$4-U$4)+AC15</f>
        <v>0.69500000000000006</v>
      </c>
      <c r="AE15" s="91">
        <f>H15</f>
        <v>0.7</v>
      </c>
      <c r="AF15" s="91">
        <f>(AH15-AE15)/(AH$4-AE$4)+AE15</f>
        <v>0.7</v>
      </c>
      <c r="AG15" s="91">
        <f>(AE15+AH15)/2</f>
        <v>0.7</v>
      </c>
      <c r="AH15" s="91">
        <f>I15</f>
        <v>0.7</v>
      </c>
      <c r="AJ15" s="94">
        <f>SUMIF(AR2008_Stats!$A$18:$A$29,C15,AR2008_Stats!$T$18:$T$29)</f>
        <v>0.1925</v>
      </c>
      <c r="AK15" s="91">
        <f>SUMIF(AR2008_Stats!$A$18:$A$29,C15,AR2008_Stats!$R$18:$R$29)</f>
        <v>0.05</v>
      </c>
      <c r="AL15" s="83">
        <v>0.03</v>
      </c>
      <c r="AM15" s="91">
        <v>0.02</v>
      </c>
      <c r="AN15" s="91">
        <v>0.01</v>
      </c>
      <c r="AO15" s="91">
        <v>0.01</v>
      </c>
      <c r="AP15" s="95" t="str">
        <f>AQ15&amp;" "&amp;AR15&amp;" "&amp;AS15&amp;" "&amp;AT15&amp;" "&amp;AU15&amp;" "&amp;AV15&amp;" "&amp;AW15&amp;" "&amp;AX15&amp;" "&amp;AY15&amp;" "&amp;AZ15&amp;" "&amp;BA15&amp;" "&amp;BB15&amp;" "&amp;BC15&amp;" "&amp;BD15&amp;" "&amp;BE15&amp;" "&amp;BF15&amp;" "&amp;BG15&amp;" "&amp;BH15&amp;" "&amp;BI15&amp;" "&amp;BJ15&amp;" "&amp;BK15&amp;" "&amp;BL15&amp;" "&amp;BM15&amp;" "&amp;BN15&amp;" "</f>
        <v xml:space="preserve">0.03 0.029 0.028 0.027 0.026 0.025 0.024 0.023 0.022 0.021 0.02 0.019 0.018 0.017 0.016 0.015 0.014 0.013 0.012 0.011 0.01 0.01 0.01 0.01 </v>
      </c>
      <c r="AQ15" s="91">
        <f>AL15</f>
        <v>0.03</v>
      </c>
      <c r="AR15" s="91">
        <f>(BA15-AQ15)/(BA$4-AQ$4)+AQ15</f>
        <v>2.8999999999999998E-2</v>
      </c>
      <c r="AS15" s="91">
        <f>(BA15-AQ15)/(BA$4-AQ$4)+AR15</f>
        <v>2.7999999999999997E-2</v>
      </c>
      <c r="AT15" s="91">
        <f>(BA15-AQ15)/(BA$4-AQ$4)+AS15</f>
        <v>2.6999999999999996E-2</v>
      </c>
      <c r="AU15" s="91">
        <f>(BA15-AQ15)/(BA$4-AQ$4)+AT15</f>
        <v>2.5999999999999995E-2</v>
      </c>
      <c r="AV15" s="91">
        <f>(BA15-AQ15)/(BA$4-AQ$4)+AU15</f>
        <v>2.4999999999999994E-2</v>
      </c>
      <c r="AW15" s="91">
        <f>(BA15-AQ15)/(BA$4-AQ$4)+AV15</f>
        <v>2.3999999999999994E-2</v>
      </c>
      <c r="AX15" s="91">
        <f>(BA15-AQ15)/(BA$4-AQ$4)+AW15</f>
        <v>2.2999999999999993E-2</v>
      </c>
      <c r="AY15" s="91">
        <f>(BA15-AQ15)/(BA$4-AQ$4)+AX15</f>
        <v>2.1999999999999992E-2</v>
      </c>
      <c r="AZ15" s="91">
        <f>(BA15-AQ15)/(BA$4-AQ$4)+AY15</f>
        <v>2.0999999999999991E-2</v>
      </c>
      <c r="BA15" s="91">
        <f>AM15</f>
        <v>0.02</v>
      </c>
      <c r="BB15" s="91">
        <f>(BK15-BA15)/(BK$4-BA$4)+BA15</f>
        <v>1.9E-2</v>
      </c>
      <c r="BC15" s="91">
        <f>(BK15-BA15)/(BK$4-BA$4)+BB15</f>
        <v>1.7999999999999999E-2</v>
      </c>
      <c r="BD15" s="91">
        <f>(BK15-BA15)/(BK$4-BA$4)+BC15</f>
        <v>1.6999999999999998E-2</v>
      </c>
      <c r="BE15" s="91">
        <f>(BK15-BA15)/(BK$4-BA$4)+BD15</f>
        <v>1.5999999999999997E-2</v>
      </c>
      <c r="BF15" s="91">
        <f>(BK15-BA15)/(BK$4-BA$4)+BE15</f>
        <v>1.4999999999999996E-2</v>
      </c>
      <c r="BG15" s="91">
        <f>(BK15-BA15)/(BK$4-BA$4)+BF15</f>
        <v>1.3999999999999995E-2</v>
      </c>
      <c r="BH15" s="91">
        <f>(BK15-BA15)/(BK$4-BA$4)+BG15</f>
        <v>1.2999999999999994E-2</v>
      </c>
      <c r="BI15" s="91">
        <f>(BK15-BA15)/(BK$4-BA$4)+BH15</f>
        <v>1.1999999999999993E-2</v>
      </c>
      <c r="BJ15" s="91">
        <f>(BK15-BA15)/(BK$4-BA$4)+BI15</f>
        <v>1.0999999999999992E-2</v>
      </c>
      <c r="BK15" s="91">
        <f>AN15</f>
        <v>0.01</v>
      </c>
      <c r="BL15" s="91">
        <f>(BN15-BK15)/(BN$4-BK$4)+BK15</f>
        <v>0.01</v>
      </c>
      <c r="BM15" s="91">
        <f>(BK15+BN15)/2</f>
        <v>0.01</v>
      </c>
      <c r="BN15" s="91">
        <f>AO15</f>
        <v>0.01</v>
      </c>
      <c r="BP15" s="17">
        <f ca="1">K15*K18</f>
        <v>4225.5</v>
      </c>
      <c r="BQ15" s="17">
        <f t="shared" ref="BQ15" ca="1" si="240">L15*L18</f>
        <v>4766.3640000000005</v>
      </c>
      <c r="BR15" s="17">
        <f t="shared" ref="BR15" ca="1" si="241">M15*M18</f>
        <v>5366.7230400000008</v>
      </c>
      <c r="BS15" s="17">
        <f t="shared" ref="BS15" ca="1" si="242">N15*N18</f>
        <v>6032.6347968000018</v>
      </c>
      <c r="BT15" s="17">
        <f t="shared" ref="BT15" ca="1" si="243">O15*O18</f>
        <v>6770.7454072320024</v>
      </c>
      <c r="BU15" s="17">
        <f t="shared" ref="BU15" ca="1" si="244">P15*P18</f>
        <v>7588.3448526336033</v>
      </c>
      <c r="BV15" s="17">
        <f t="shared" ref="BV15" ca="1" si="245">Q15*Q18</f>
        <v>8493.4274386931756</v>
      </c>
      <c r="BW15" s="17">
        <f t="shared" ref="BW15" ca="1" si="246">R15*R18</f>
        <v>9494.7578314654238</v>
      </c>
      <c r="BX15" s="17">
        <f t="shared" ref="BX15" ca="1" si="247">S15*S18</f>
        <v>10601.943151473597</v>
      </c>
      <c r="BY15" s="17">
        <f t="shared" ref="BY15" ca="1" si="248">T15*T18</f>
        <v>11825.511672561699</v>
      </c>
      <c r="BZ15" s="17">
        <f t="shared" ref="BZ15" ca="1" si="249">U15*U18</f>
        <v>13176.998720854466</v>
      </c>
      <c r="CA15" s="17">
        <f t="shared" ref="CA15" ca="1" si="250">V15*V18</f>
        <v>14340.629069434537</v>
      </c>
      <c r="CB15" s="17">
        <f t="shared" ref="CB15" ca="1" si="251">W15*W18</f>
        <v>15606.107481973952</v>
      </c>
      <c r="CC15" s="17">
        <f t="shared" ref="CC15" ca="1" si="252">X15*X18</f>
        <v>16982.282414475292</v>
      </c>
      <c r="CD15" s="17">
        <f t="shared" ref="CD15" ca="1" si="253">Y15*Y18</f>
        <v>18478.766248292213</v>
      </c>
      <c r="CE15" s="17">
        <f t="shared" ref="CE15" ca="1" si="254">Z15*Z18</f>
        <v>19919.834213177692</v>
      </c>
      <c r="CF15" s="17">
        <f t="shared" ref="CF15" ca="1" si="255">AA15*AA18</f>
        <v>21271.431853123675</v>
      </c>
      <c r="CG15" s="17">
        <f t="shared" ref="CG15" ca="1" si="256">AB15*AB18</f>
        <v>22713.509806695736</v>
      </c>
      <c r="CH15" s="17">
        <f t="shared" ref="CH15" ca="1" si="257">AC15*AC18</f>
        <v>24252.059960025203</v>
      </c>
      <c r="CI15" s="17">
        <f t="shared" ref="CI15" ca="1" si="258">AD15*AD18</f>
        <v>25893.467496450103</v>
      </c>
      <c r="CJ15" s="17">
        <f t="shared" ref="CJ15" ca="1" si="259">AE15*AE18</f>
        <v>27644.536521389888</v>
      </c>
      <c r="CK15" s="17">
        <f t="shared" ref="CK15" ca="1" si="260">AF15*AF18</f>
        <v>29303.208712673284</v>
      </c>
      <c r="CL15" s="17">
        <f t="shared" ref="CL15" ca="1" si="261">AG15*AG18</f>
        <v>37217.579095118868</v>
      </c>
      <c r="CM15" s="17">
        <f t="shared" ref="CM15" ca="1" si="262">AH15*AH18</f>
        <v>38466.126072166211</v>
      </c>
      <c r="CN15" s="95" t="str">
        <f t="shared" ref="CN15:CN17" ca="1" si="263">CO15&amp;" "&amp;CP15&amp;" "&amp;CQ15&amp;" "&amp;CR15&amp;" "&amp;CS15&amp;" "&amp;CT15&amp;" "&amp;CU15&amp;" "&amp;CV15&amp;" "&amp;CW15&amp;" "&amp;CX15&amp;" "&amp;CY15&amp;" "&amp;CZ15&amp;" "&amp;DA15&amp;" "&amp;DB15&amp;" "&amp;DC15&amp;" "&amp;DD15&amp;" "&amp;DE15&amp;" "&amp;DF15&amp;" "&amp;DG15&amp;" "&amp;DH15&amp;" "&amp;DI15&amp;" "&amp;DJ15&amp;" "&amp;DK15&amp;" "&amp;DL15&amp;" "</f>
        <v xml:space="preserve">444.5 501.9 565.7 636.6 715.2 802.4 899 1006 1124.5 1255.5 1400.4 1525.7 1662 1810.4 1971.9 2127.9 2274.5 2431.2 2598.5 2777.2 2968 3146.1 3995.8 4129.8 </v>
      </c>
      <c r="CO15" s="96">
        <f ca="1">ROUND(BP15*(1-AQ15)*(1-$AK15)/8.76*(1+CO$2),1)</f>
        <v>444.5</v>
      </c>
      <c r="CP15" s="96">
        <f t="shared" ref="CP15:CP17" ca="1" si="264">ROUND(BQ15*(1-AR15)*(1-$AK15)/8.76*(1+CP$2),1)</f>
        <v>501.9</v>
      </c>
      <c r="CQ15" s="96">
        <f t="shared" ref="CQ15:CQ17" ca="1" si="265">ROUND(BR15*(1-AS15)*(1-$AK15)/8.76*(1+CQ$2),1)</f>
        <v>565.70000000000005</v>
      </c>
      <c r="CR15" s="96">
        <f t="shared" ref="CR15:CR17" ca="1" si="266">ROUND(BS15*(1-AT15)*(1-$AK15)/8.76*(1+CR$2),1)</f>
        <v>636.6</v>
      </c>
      <c r="CS15" s="96">
        <f t="shared" ref="CS15:CS17" ca="1" si="267">ROUND(BT15*(1-AU15)*(1-$AK15)/8.76*(1+CS$2),1)</f>
        <v>715.2</v>
      </c>
      <c r="CT15" s="96">
        <f t="shared" ref="CT15:CT17" ca="1" si="268">ROUND(BU15*(1-AV15)*(1-$AK15)/8.76*(1+CT$2),1)</f>
        <v>802.4</v>
      </c>
      <c r="CU15" s="96">
        <f t="shared" ref="CU15:CU17" ca="1" si="269">ROUND(BV15*(1-AW15)*(1-$AK15)/8.76*(1+CU$2),1)</f>
        <v>899</v>
      </c>
      <c r="CV15" s="96">
        <f t="shared" ref="CV15:CV17" ca="1" si="270">ROUND(BW15*(1-AX15)*(1-$AK15)/8.76*(1+CV$2),1)</f>
        <v>1006</v>
      </c>
      <c r="CW15" s="96">
        <f t="shared" ref="CW15:CW17" ca="1" si="271">ROUND(BX15*(1-AY15)*(1-$AK15)/8.76*(1+CW$2),1)</f>
        <v>1124.5</v>
      </c>
      <c r="CX15" s="96">
        <f t="shared" ref="CX15:CX17" ca="1" si="272">ROUND(BY15*(1-AZ15)*(1-$AK15)/8.76*(1+CX$2),1)</f>
        <v>1255.5</v>
      </c>
      <c r="CY15" s="96">
        <f t="shared" ref="CY15:CY17" ca="1" si="273">ROUND(BZ15*(1-BA15)*(1-$AK15)/8.76*(1+CY$2),1)</f>
        <v>1400.4</v>
      </c>
      <c r="CZ15" s="96">
        <f t="shared" ref="CZ15:CZ17" ca="1" si="274">ROUND(CA15*(1-BB15)*(1-$AK15)/8.76*(1+CZ$2),1)</f>
        <v>1525.7</v>
      </c>
      <c r="DA15" s="96">
        <f t="shared" ref="DA15:DA17" ca="1" si="275">ROUND(CB15*(1-BC15)*(1-$AK15)/8.76*(1+DA$2),1)</f>
        <v>1662</v>
      </c>
      <c r="DB15" s="96">
        <f t="shared" ref="DB15:DB17" ca="1" si="276">ROUND(CC15*(1-BD15)*(1-$AK15)/8.76*(1+DB$2),1)</f>
        <v>1810.4</v>
      </c>
      <c r="DC15" s="96">
        <f t="shared" ref="DC15:DC17" ca="1" si="277">ROUND(CD15*(1-BE15)*(1-$AK15)/8.76*(1+DC$2),1)</f>
        <v>1971.9</v>
      </c>
      <c r="DD15" s="96">
        <f t="shared" ref="DD15:DD17" ca="1" si="278">ROUND(CE15*(1-BF15)*(1-$AK15)/8.76*(1+DD$2),1)</f>
        <v>2127.9</v>
      </c>
      <c r="DE15" s="96">
        <f t="shared" ref="DE15:DE17" ca="1" si="279">ROUND(CF15*(1-BG15)*(1-$AK15)/8.76*(1+DE$2),1)</f>
        <v>2274.5</v>
      </c>
      <c r="DF15" s="96">
        <f t="shared" ref="DF15:DF17" ca="1" si="280">ROUND(CG15*(1-BH15)*(1-$AK15)/8.76*(1+DF$2),1)</f>
        <v>2431.1999999999998</v>
      </c>
      <c r="DG15" s="96">
        <f t="shared" ref="DG15:DG17" ca="1" si="281">ROUND(CH15*(1-BI15)*(1-$AK15)/8.76*(1+DG$2),1)</f>
        <v>2598.5</v>
      </c>
      <c r="DH15" s="96">
        <f t="shared" ref="DH15:DH17" ca="1" si="282">ROUND(CI15*(1-BJ15)*(1-$AK15)/8.76*(1+DH$2),1)</f>
        <v>2777.2</v>
      </c>
      <c r="DI15" s="96">
        <f t="shared" ref="DI15:DI17" ca="1" si="283">ROUND(CJ15*(1-BK15)*(1-$AK15)/8.76*(1+DI$2),1)</f>
        <v>2968</v>
      </c>
      <c r="DJ15" s="96">
        <f t="shared" ref="DJ15:DJ17" ca="1" si="284">ROUND(CK15*(1-BL15)*(1-$AK15)/8.76*(1+DJ$2),1)</f>
        <v>3146.1</v>
      </c>
      <c r="DK15" s="96">
        <f t="shared" ref="DK15:DK17" ca="1" si="285">ROUND(CL15*(1-BM15)*(1-$AK15)/8.76*(1+DK$2),1)</f>
        <v>3995.8</v>
      </c>
      <c r="DL15" s="96">
        <f t="shared" ref="DL15:DL17" ca="1" si="286">ROUND(CM15*(1-BN15)*(1-$AK15)/8.76*(1+DL$2),1)</f>
        <v>4129.8</v>
      </c>
      <c r="DM15" s="95" t="str">
        <f t="shared" ref="DM15:DM17" si="287">DN15&amp;" "&amp;DO15&amp;" "&amp;DP15&amp;" "&amp;DQ15&amp;" "&amp;DR15&amp;" "&amp;DS15&amp;" "&amp;DT15&amp;" "&amp;DU15&amp;" "&amp;DV15&amp;" "&amp;DW15&amp;" "&amp;DX15&amp;" "&amp;DY15&amp;" "&amp;DZ15&amp;" "&amp;EA15&amp;" "&amp;EB15&amp;" "&amp;EC15&amp;" "&amp;ED15&amp;" "&amp;EE15&amp;" "&amp;EF15&amp;" "&amp;EG15&amp;" "&amp;EH15&amp;" "&amp;EI15&amp;" "&amp;EJ15&amp;" "&amp;EK15&amp;" "</f>
        <v xml:space="preserve">0.97 0.971 0.972 0.973 0.974 0.975 0.976 0.977 0.978 0.979 0.98 0.981 0.982 0.983 0.984 0.985 0.986 0.987 0.988 0.989 0.99 0.99 0.99 0.99 </v>
      </c>
      <c r="DN15" s="91">
        <f>1-AQ15</f>
        <v>0.97</v>
      </c>
      <c r="DO15" s="91">
        <f t="shared" ref="DO15:ED17" si="288">1-AR15</f>
        <v>0.97099999999999997</v>
      </c>
      <c r="DP15" s="91">
        <f t="shared" si="288"/>
        <v>0.97199999999999998</v>
      </c>
      <c r="DQ15" s="91">
        <f t="shared" si="288"/>
        <v>0.97299999999999998</v>
      </c>
      <c r="DR15" s="91">
        <f t="shared" si="288"/>
        <v>0.97399999999999998</v>
      </c>
      <c r="DS15" s="91">
        <f t="shared" si="288"/>
        <v>0.97499999999999998</v>
      </c>
      <c r="DT15" s="91">
        <f t="shared" si="288"/>
        <v>0.97599999999999998</v>
      </c>
      <c r="DU15" s="91">
        <f t="shared" si="288"/>
        <v>0.97699999999999998</v>
      </c>
      <c r="DV15" s="91">
        <f t="shared" si="288"/>
        <v>0.97799999999999998</v>
      </c>
      <c r="DW15" s="91">
        <f t="shared" si="288"/>
        <v>0.97899999999999998</v>
      </c>
      <c r="DX15" s="91">
        <f t="shared" si="288"/>
        <v>0.98</v>
      </c>
      <c r="DY15" s="91">
        <f t="shared" si="288"/>
        <v>0.98099999999999998</v>
      </c>
      <c r="DZ15" s="91">
        <f t="shared" si="288"/>
        <v>0.98199999999999998</v>
      </c>
      <c r="EA15" s="91">
        <f t="shared" si="288"/>
        <v>0.98299999999999998</v>
      </c>
      <c r="EB15" s="91">
        <f t="shared" si="288"/>
        <v>0.98399999999999999</v>
      </c>
      <c r="EC15" s="91">
        <f t="shared" si="288"/>
        <v>0.98499999999999999</v>
      </c>
      <c r="ED15" s="91">
        <f t="shared" si="288"/>
        <v>0.98599999999999999</v>
      </c>
      <c r="EE15" s="91">
        <f t="shared" ref="EE15:EK17" si="289">1-BH15</f>
        <v>0.98699999999999999</v>
      </c>
      <c r="EF15" s="91">
        <f t="shared" si="289"/>
        <v>0.98799999999999999</v>
      </c>
      <c r="EG15" s="91">
        <f t="shared" si="289"/>
        <v>0.98899999999999999</v>
      </c>
      <c r="EH15" s="91">
        <f t="shared" si="289"/>
        <v>0.99</v>
      </c>
      <c r="EI15" s="91">
        <f t="shared" si="289"/>
        <v>0.99</v>
      </c>
      <c r="EJ15" s="91">
        <f t="shared" si="289"/>
        <v>0.99</v>
      </c>
      <c r="EK15" s="91">
        <f t="shared" si="289"/>
        <v>0.99</v>
      </c>
    </row>
    <row r="16" spans="1:141" x14ac:dyDescent="0.25">
      <c r="A16" t="str">
        <f t="shared" si="17"/>
        <v>UrbanDRC</v>
      </c>
      <c r="B16" t="str">
        <f t="shared" si="237"/>
        <v>Urban</v>
      </c>
      <c r="C16" t="str">
        <f>IFERROR(VLOOKUP(D16,PoolPlan_EnergyProj!$C$89:$D$100,2,FALSE),C15)</f>
        <v>DRC</v>
      </c>
      <c r="D16" t="s">
        <v>148</v>
      </c>
      <c r="E16" s="91">
        <f>1-E15-E17</f>
        <v>0.53</v>
      </c>
      <c r="F16" s="91">
        <f>1-F15-F17</f>
        <v>0.41999999999999993</v>
      </c>
      <c r="G16" s="91">
        <f t="shared" ref="G16:I16" si="290">1-G15-G17</f>
        <v>0.3</v>
      </c>
      <c r="H16" s="91">
        <f t="shared" si="290"/>
        <v>0.25000000000000006</v>
      </c>
      <c r="I16" s="91">
        <f t="shared" si="290"/>
        <v>0.25000000000000006</v>
      </c>
      <c r="K16" s="91">
        <f t="shared" ref="K16:K17" si="291">E16</f>
        <v>0.53</v>
      </c>
      <c r="L16" s="91">
        <f t="shared" ref="L16:O17" si="292">($P16-$K16)/($P$4-$K$4)+K16</f>
        <v>0.50800000000000001</v>
      </c>
      <c r="M16" s="91">
        <f t="shared" si="292"/>
        <v>0.48599999999999999</v>
      </c>
      <c r="N16" s="91">
        <f t="shared" si="292"/>
        <v>0.46399999999999997</v>
      </c>
      <c r="O16" s="91">
        <f t="shared" si="292"/>
        <v>0.44199999999999995</v>
      </c>
      <c r="P16" s="91">
        <f t="shared" ref="P16:P17" si="293">F16</f>
        <v>0.41999999999999993</v>
      </c>
      <c r="Q16" s="91">
        <f t="shared" ref="Q16:T17" si="294">($U16-$P16)/($U$4-$P$4)+P16</f>
        <v>0.39599999999999996</v>
      </c>
      <c r="R16" s="91">
        <f t="shared" si="294"/>
        <v>0.372</v>
      </c>
      <c r="S16" s="91">
        <f t="shared" si="294"/>
        <v>0.34800000000000003</v>
      </c>
      <c r="T16" s="91">
        <f t="shared" si="294"/>
        <v>0.32400000000000007</v>
      </c>
      <c r="U16" s="91">
        <f t="shared" ref="U16:U17" si="295">G16</f>
        <v>0.3</v>
      </c>
      <c r="V16" s="91">
        <f t="shared" ref="V16:V17" si="296">(AE16-U16)/(AE$4-U$4)+U16</f>
        <v>0.29499999999999998</v>
      </c>
      <c r="W16" s="91">
        <f t="shared" ref="W16:W17" si="297">(AE16-U16)/(AE$4-U$4)+V16</f>
        <v>0.28999999999999998</v>
      </c>
      <c r="X16" s="91">
        <f t="shared" ref="X16:X17" si="298">(AE16-U16)/(AE$4-U$4)+W16</f>
        <v>0.28499999999999998</v>
      </c>
      <c r="Y16" s="91">
        <f t="shared" ref="Y16:Y17" si="299">(AE16-U16)/(AE$4-U$4)+X16</f>
        <v>0.27999999999999997</v>
      </c>
      <c r="Z16" s="91">
        <f t="shared" ref="Z16:Z17" si="300">(AE16-U16)/(AE$4-U$4)+Y16</f>
        <v>0.27499999999999997</v>
      </c>
      <c r="AA16" s="91">
        <f t="shared" ref="AA16:AA17" si="301">(AE16-U16)/(AE$4-U$4)+Z16</f>
        <v>0.26999999999999996</v>
      </c>
      <c r="AB16" s="91">
        <f t="shared" ref="AB16:AB17" si="302">(AE16-U16)/(AE$4-U$4)+AA16</f>
        <v>0.26499999999999996</v>
      </c>
      <c r="AC16" s="91">
        <f t="shared" ref="AC16:AC17" si="303">(AE16-U16)/(AE$4-U$4)+AB16</f>
        <v>0.25999999999999995</v>
      </c>
      <c r="AD16" s="91">
        <f t="shared" ref="AD16:AD17" si="304">(AE16-U16)/(AE$4-U$4)+AC16</f>
        <v>0.25499999999999995</v>
      </c>
      <c r="AE16" s="91">
        <f t="shared" ref="AE16:AE17" si="305">H16</f>
        <v>0.25000000000000006</v>
      </c>
      <c r="AF16" s="91">
        <f>(AH16-AE16)/(AH$4-AE$4)+AE16</f>
        <v>0.25000000000000006</v>
      </c>
      <c r="AG16" s="91">
        <f t="shared" ref="AG16:AG17" si="306">(AE16+AH16)/2</f>
        <v>0.25000000000000006</v>
      </c>
      <c r="AH16" s="91">
        <f>I16</f>
        <v>0.25000000000000006</v>
      </c>
      <c r="AJ16" s="91" t="s">
        <v>149</v>
      </c>
      <c r="AK16" s="91">
        <f>AK15</f>
        <v>0.05</v>
      </c>
      <c r="AL16" s="97">
        <v>0.25</v>
      </c>
      <c r="AM16" s="91">
        <v>0.1</v>
      </c>
      <c r="AN16" s="91">
        <v>0.08</v>
      </c>
      <c r="AO16" s="91">
        <f>AN16</f>
        <v>0.08</v>
      </c>
      <c r="AP16" s="95" t="str">
        <f>AQ16&amp;" "&amp;AR16&amp;" "&amp;AS16&amp;" "&amp;AT16&amp;" "&amp;AU16&amp;" "&amp;AV16&amp;" "&amp;AW16&amp;" "&amp;AX16&amp;" "&amp;AY16&amp;" "&amp;AZ16&amp;" "&amp;BA16&amp;" "&amp;BB16&amp;" "&amp;BC16&amp;" "&amp;BD16&amp;" "&amp;BE16&amp;" "&amp;BF16&amp;" "&amp;BG16&amp;" "&amp;BH16&amp;" "&amp;BI16&amp;" "&amp;BJ16&amp;" "&amp;BK16&amp;" "&amp;BL16&amp;" "&amp;BM16&amp;" "&amp;BN16&amp;" "</f>
        <v xml:space="preserve">0.25 0.235 0.22 0.205 0.19 0.175 0.16 0.145 0.13 0.115 0.1 0.098 0.096 0.094 0.092 0.09 0.088 0.086 0.084 0.082 0.08 0.08 0.08 0.08 </v>
      </c>
      <c r="AQ16" s="91">
        <f t="shared" ref="AQ16:AQ17" si="307">AL16</f>
        <v>0.25</v>
      </c>
      <c r="AR16" s="91">
        <f t="shared" ref="AR16:AR17" si="308">(BA16-AQ16)/(BA$4-AQ$4)+AQ16</f>
        <v>0.23499999999999999</v>
      </c>
      <c r="AS16" s="91">
        <f t="shared" ref="AS16:AS17" si="309">(BA16-AQ16)/(BA$4-AQ$4)+AR16</f>
        <v>0.21999999999999997</v>
      </c>
      <c r="AT16" s="91">
        <f t="shared" ref="AT16:AT17" si="310">(BA16-AQ16)/(BA$4-AQ$4)+AS16</f>
        <v>0.20499999999999996</v>
      </c>
      <c r="AU16" s="91">
        <f t="shared" ref="AU16:AU17" si="311">(BA16-AQ16)/(BA$4-AQ$4)+AT16</f>
        <v>0.18999999999999995</v>
      </c>
      <c r="AV16" s="91">
        <f t="shared" ref="AV16:AV17" si="312">(BA16-AQ16)/(BA$4-AQ$4)+AU16</f>
        <v>0.17499999999999993</v>
      </c>
      <c r="AW16" s="91">
        <f t="shared" ref="AW16:AW17" si="313">(BA16-AQ16)/(BA$4-AQ$4)+AV16</f>
        <v>0.15999999999999992</v>
      </c>
      <c r="AX16" s="91">
        <f t="shared" ref="AX16:AX17" si="314">(BA16-AQ16)/(BA$4-AQ$4)+AW16</f>
        <v>0.14499999999999991</v>
      </c>
      <c r="AY16" s="91">
        <f t="shared" ref="AY16:AY17" si="315">(BA16-AQ16)/(BA$4-AQ$4)+AX16</f>
        <v>0.12999999999999989</v>
      </c>
      <c r="AZ16" s="91">
        <f t="shared" ref="AZ16:AZ17" si="316">(BA16-AQ16)/(BA$4-AQ$4)+AY16</f>
        <v>0.11499999999999989</v>
      </c>
      <c r="BA16" s="91">
        <f t="shared" ref="BA16:BA17" si="317">AM16</f>
        <v>0.1</v>
      </c>
      <c r="BB16" s="91">
        <f t="shared" ref="BB16:BB17" si="318">(BK16-BA16)/(BK$4-BA$4)+BA16</f>
        <v>9.8000000000000004E-2</v>
      </c>
      <c r="BC16" s="91">
        <f t="shared" ref="BC16:BC17" si="319">(BK16-BA16)/(BK$4-BA$4)+BB16</f>
        <v>9.6000000000000002E-2</v>
      </c>
      <c r="BD16" s="91">
        <f t="shared" ref="BD16:BD17" si="320">(BK16-BA16)/(BK$4-BA$4)+BC16</f>
        <v>9.4E-2</v>
      </c>
      <c r="BE16" s="91">
        <f t="shared" ref="BE16:BE17" si="321">(BK16-BA16)/(BK$4-BA$4)+BD16</f>
        <v>9.1999999999999998E-2</v>
      </c>
      <c r="BF16" s="91">
        <f t="shared" ref="BF16:BF17" si="322">(BK16-BA16)/(BK$4-BA$4)+BE16</f>
        <v>0.09</v>
      </c>
      <c r="BG16" s="91">
        <f t="shared" ref="BG16:BG17" si="323">(BK16-BA16)/(BK$4-BA$4)+BF16</f>
        <v>8.7999999999999995E-2</v>
      </c>
      <c r="BH16" s="91">
        <f t="shared" ref="BH16:BH17" si="324">(BK16-BA16)/(BK$4-BA$4)+BG16</f>
        <v>8.5999999999999993E-2</v>
      </c>
      <c r="BI16" s="91">
        <f t="shared" ref="BI16:BI17" si="325">(BK16-BA16)/(BK$4-BA$4)+BH16</f>
        <v>8.3999999999999991E-2</v>
      </c>
      <c r="BJ16" s="91">
        <f t="shared" ref="BJ16:BJ17" si="326">(BK16-BA16)/(BK$4-BA$4)+BI16</f>
        <v>8.199999999999999E-2</v>
      </c>
      <c r="BK16" s="91">
        <f t="shared" ref="BK16:BK17" si="327">AN16</f>
        <v>0.08</v>
      </c>
      <c r="BL16" s="91">
        <f>(BN16-BK16)/(BN$4-BK$4)+BK16</f>
        <v>0.08</v>
      </c>
      <c r="BM16" s="91">
        <f t="shared" ref="BM16:BM17" si="328">(BK16+BN16)/2</f>
        <v>0.08</v>
      </c>
      <c r="BN16" s="91">
        <f>AO16</f>
        <v>0.08</v>
      </c>
      <c r="BP16" s="17">
        <f ca="1">K16*K18</f>
        <v>4976.7</v>
      </c>
      <c r="BQ16" s="17">
        <f t="shared" ref="BQ16" ca="1" si="329">L16*L18</f>
        <v>5151.7296000000006</v>
      </c>
      <c r="BR16" s="17">
        <f t="shared" ref="BR16" ca="1" si="330">M16*M18</f>
        <v>5322.9130560000003</v>
      </c>
      <c r="BS16" s="17">
        <f t="shared" ref="BS16" ca="1" si="331">N16*N18</f>
        <v>5488.5147955200009</v>
      </c>
      <c r="BT16" s="17">
        <f t="shared" ref="BT16" ca="1" si="332">O16*O18</f>
        <v>5646.5461698048011</v>
      </c>
      <c r="BU16" s="17">
        <f t="shared" ref="BU16" ca="1" si="333">P16*P18</f>
        <v>5794.7360692838411</v>
      </c>
      <c r="BV16" s="17">
        <f t="shared" ref="BV16" ca="1" si="334">Q16*Q18</f>
        <v>5900.6969574078894</v>
      </c>
      <c r="BW16" s="17">
        <f t="shared" ref="BW16" ca="1" si="335">R16*R18</f>
        <v>5986.5252767883685</v>
      </c>
      <c r="BX16" s="17">
        <f t="shared" ref="BX16" ca="1" si="336">S16*S18</f>
        <v>6048.3216667423139</v>
      </c>
      <c r="BY16" s="17">
        <f t="shared" ref="BY16" ca="1" si="337">T16*T18</f>
        <v>6081.6917173174461</v>
      </c>
      <c r="BZ16" s="17">
        <f t="shared" ref="BZ16" ca="1" si="338">U16*U18</f>
        <v>6081.6917173174452</v>
      </c>
      <c r="CA16" s="17">
        <f t="shared" ref="CA16" ca="1" si="339">V16*V18</f>
        <v>6458.7566037911265</v>
      </c>
      <c r="CB16" s="17">
        <f t="shared" ref="CB16" ca="1" si="340">W16*W18</f>
        <v>6857.229045109766</v>
      </c>
      <c r="CC16" s="17">
        <f t="shared" ref="CC16" ca="1" si="341">X16*X18</f>
        <v>7278.1210347751248</v>
      </c>
      <c r="CD16" s="17">
        <f t="shared" ref="CD16" ca="1" si="342">Y16*Y18</f>
        <v>7722.4694768982372</v>
      </c>
      <c r="CE16" s="17">
        <f t="shared" ref="CE16" ca="1" si="343">Z16*Z18</f>
        <v>8115.4880127760944</v>
      </c>
      <c r="CF16" s="17">
        <f t="shared" ref="CF16" ca="1" si="344">AA16*AA18</f>
        <v>8446.00970638734</v>
      </c>
      <c r="CG16" s="17">
        <f t="shared" ref="CG16" ca="1" si="345">AB16*AB18</f>
        <v>8786.978246385941</v>
      </c>
      <c r="CH16" s="17">
        <f t="shared" ref="CH16" ca="1" si="346">AC16*AC18</f>
        <v>9138.4573762413784</v>
      </c>
      <c r="CI16" s="17">
        <f t="shared" ref="CI16" ca="1" si="347">AD16*AD18</f>
        <v>9500.4808799924813</v>
      </c>
      <c r="CJ16" s="17">
        <f t="shared" ref="CJ16" ca="1" si="348">AE16*AE18</f>
        <v>9873.0487576392479</v>
      </c>
      <c r="CK16" s="17">
        <f t="shared" ref="CK16" ca="1" si="349">AF16*AF18</f>
        <v>10465.431683097604</v>
      </c>
      <c r="CL16" s="17">
        <f t="shared" ref="CL16" ca="1" si="350">AG16*AG18</f>
        <v>13291.992533971028</v>
      </c>
      <c r="CM16" s="17">
        <f t="shared" ref="CM16" ca="1" si="351">AH16*AH18</f>
        <v>13737.902168630795</v>
      </c>
      <c r="CN16" s="95" t="str">
        <f t="shared" ca="1" si="263"/>
        <v xml:space="preserve">404.8 427.4 450.3 473.2 496 518.5 537.5 555.1 570.7 583.7 593.6 631.8 672.3 715.1 760.4 800.9 835.3 871 907.8 945.8 985.1 1044.2 1326.2 1370.7 </v>
      </c>
      <c r="CO16" s="96">
        <f ca="1">ROUND(BP16*(1-AQ16)*(1-$AK16)/8.76*(1+CO$2),1)</f>
        <v>404.8</v>
      </c>
      <c r="CP16" s="96">
        <f t="shared" ca="1" si="264"/>
        <v>427.4</v>
      </c>
      <c r="CQ16" s="96">
        <f t="shared" ca="1" si="265"/>
        <v>450.3</v>
      </c>
      <c r="CR16" s="96">
        <f t="shared" ca="1" si="266"/>
        <v>473.2</v>
      </c>
      <c r="CS16" s="96">
        <f t="shared" ca="1" si="267"/>
        <v>496</v>
      </c>
      <c r="CT16" s="96">
        <f t="shared" ca="1" si="268"/>
        <v>518.5</v>
      </c>
      <c r="CU16" s="96">
        <f t="shared" ca="1" si="269"/>
        <v>537.5</v>
      </c>
      <c r="CV16" s="96">
        <f t="shared" ca="1" si="270"/>
        <v>555.1</v>
      </c>
      <c r="CW16" s="96">
        <f t="shared" ca="1" si="271"/>
        <v>570.70000000000005</v>
      </c>
      <c r="CX16" s="96">
        <f t="shared" ca="1" si="272"/>
        <v>583.70000000000005</v>
      </c>
      <c r="CY16" s="96">
        <f t="shared" ca="1" si="273"/>
        <v>593.6</v>
      </c>
      <c r="CZ16" s="96">
        <f t="shared" ca="1" si="274"/>
        <v>631.79999999999995</v>
      </c>
      <c r="DA16" s="96">
        <f t="shared" ca="1" si="275"/>
        <v>672.3</v>
      </c>
      <c r="DB16" s="96">
        <f t="shared" ca="1" si="276"/>
        <v>715.1</v>
      </c>
      <c r="DC16" s="96">
        <f t="shared" ca="1" si="277"/>
        <v>760.4</v>
      </c>
      <c r="DD16" s="96">
        <f t="shared" ca="1" si="278"/>
        <v>800.9</v>
      </c>
      <c r="DE16" s="96">
        <f t="shared" ca="1" si="279"/>
        <v>835.3</v>
      </c>
      <c r="DF16" s="96">
        <f t="shared" ca="1" si="280"/>
        <v>871</v>
      </c>
      <c r="DG16" s="96">
        <f t="shared" ca="1" si="281"/>
        <v>907.8</v>
      </c>
      <c r="DH16" s="96">
        <f t="shared" ca="1" si="282"/>
        <v>945.8</v>
      </c>
      <c r="DI16" s="96">
        <f t="shared" ca="1" si="283"/>
        <v>985.1</v>
      </c>
      <c r="DJ16" s="96">
        <f t="shared" ca="1" si="284"/>
        <v>1044.2</v>
      </c>
      <c r="DK16" s="96">
        <f t="shared" ca="1" si="285"/>
        <v>1326.2</v>
      </c>
      <c r="DL16" s="96">
        <f t="shared" ca="1" si="286"/>
        <v>1370.7</v>
      </c>
      <c r="DM16" s="95" t="str">
        <f t="shared" si="287"/>
        <v xml:space="preserve">0.75 0.765 0.78 0.795 0.81 0.825 0.84 0.855 0.87 0.885 0.9 0.902 0.904 0.906 0.908 0.91 0.912 0.914 0.916 0.918 0.92 0.92 0.92 0.92 </v>
      </c>
      <c r="DN16" s="91">
        <f t="shared" ref="DN16:DN17" si="352">1-AQ16</f>
        <v>0.75</v>
      </c>
      <c r="DO16" s="91">
        <f t="shared" si="288"/>
        <v>0.76500000000000001</v>
      </c>
      <c r="DP16" s="91">
        <f t="shared" si="288"/>
        <v>0.78</v>
      </c>
      <c r="DQ16" s="91">
        <f t="shared" si="288"/>
        <v>0.79500000000000004</v>
      </c>
      <c r="DR16" s="91">
        <f t="shared" si="288"/>
        <v>0.81</v>
      </c>
      <c r="DS16" s="91">
        <f t="shared" si="288"/>
        <v>0.82500000000000007</v>
      </c>
      <c r="DT16" s="91">
        <f t="shared" si="288"/>
        <v>0.84000000000000008</v>
      </c>
      <c r="DU16" s="91">
        <f t="shared" si="288"/>
        <v>0.85500000000000009</v>
      </c>
      <c r="DV16" s="91">
        <f t="shared" si="288"/>
        <v>0.87000000000000011</v>
      </c>
      <c r="DW16" s="91">
        <f t="shared" si="288"/>
        <v>0.88500000000000012</v>
      </c>
      <c r="DX16" s="91">
        <f t="shared" si="288"/>
        <v>0.9</v>
      </c>
      <c r="DY16" s="91">
        <f t="shared" si="288"/>
        <v>0.90200000000000002</v>
      </c>
      <c r="DZ16" s="91">
        <f t="shared" si="288"/>
        <v>0.90400000000000003</v>
      </c>
      <c r="EA16" s="91">
        <f t="shared" si="288"/>
        <v>0.90600000000000003</v>
      </c>
      <c r="EB16" s="91">
        <f t="shared" si="288"/>
        <v>0.90800000000000003</v>
      </c>
      <c r="EC16" s="91">
        <f t="shared" si="288"/>
        <v>0.91</v>
      </c>
      <c r="ED16" s="91">
        <f t="shared" si="288"/>
        <v>0.91200000000000003</v>
      </c>
      <c r="EE16" s="91">
        <f t="shared" si="289"/>
        <v>0.91400000000000003</v>
      </c>
      <c r="EF16" s="91">
        <f t="shared" si="289"/>
        <v>0.91600000000000004</v>
      </c>
      <c r="EG16" s="91">
        <f t="shared" si="289"/>
        <v>0.91800000000000004</v>
      </c>
      <c r="EH16" s="91">
        <f t="shared" si="289"/>
        <v>0.92</v>
      </c>
      <c r="EI16" s="91">
        <f t="shared" si="289"/>
        <v>0.92</v>
      </c>
      <c r="EJ16" s="91">
        <f t="shared" si="289"/>
        <v>0.92</v>
      </c>
      <c r="EK16" s="91">
        <f t="shared" si="289"/>
        <v>0.92</v>
      </c>
    </row>
    <row r="17" spans="1:141" x14ac:dyDescent="0.25">
      <c r="A17" t="str">
        <f t="shared" si="17"/>
        <v>RuralDRC</v>
      </c>
      <c r="B17" t="str">
        <f t="shared" si="237"/>
        <v>Rural</v>
      </c>
      <c r="C17" t="str">
        <f>IFERROR(VLOOKUP(D17,PoolPlan_EnergyProj!$C$89:$D$100,2,FALSE),C16)</f>
        <v>DRC</v>
      </c>
      <c r="D17" t="s">
        <v>150</v>
      </c>
      <c r="E17" s="91">
        <v>0.02</v>
      </c>
      <c r="F17" s="91">
        <v>0.03</v>
      </c>
      <c r="G17" s="91">
        <v>0.05</v>
      </c>
      <c r="H17" s="91">
        <v>0.05</v>
      </c>
      <c r="I17" s="91">
        <v>0.05</v>
      </c>
      <c r="K17" s="91">
        <f t="shared" si="291"/>
        <v>0.02</v>
      </c>
      <c r="L17" s="91">
        <f t="shared" si="292"/>
        <v>2.1999999999999999E-2</v>
      </c>
      <c r="M17" s="91">
        <f t="shared" si="292"/>
        <v>2.3999999999999997E-2</v>
      </c>
      <c r="N17" s="91">
        <f t="shared" si="292"/>
        <v>2.5999999999999995E-2</v>
      </c>
      <c r="O17" s="91">
        <f t="shared" si="292"/>
        <v>2.7999999999999994E-2</v>
      </c>
      <c r="P17" s="91">
        <f t="shared" si="293"/>
        <v>0.03</v>
      </c>
      <c r="Q17" s="91">
        <f t="shared" si="294"/>
        <v>3.4000000000000002E-2</v>
      </c>
      <c r="R17" s="91">
        <f t="shared" si="294"/>
        <v>3.8000000000000006E-2</v>
      </c>
      <c r="S17" s="91">
        <f t="shared" si="294"/>
        <v>4.200000000000001E-2</v>
      </c>
      <c r="T17" s="91">
        <f t="shared" si="294"/>
        <v>4.6000000000000013E-2</v>
      </c>
      <c r="U17" s="91">
        <f t="shared" si="295"/>
        <v>0.05</v>
      </c>
      <c r="V17" s="91">
        <f t="shared" si="296"/>
        <v>0.05</v>
      </c>
      <c r="W17" s="91">
        <f t="shared" si="297"/>
        <v>0.05</v>
      </c>
      <c r="X17" s="91">
        <f t="shared" si="298"/>
        <v>0.05</v>
      </c>
      <c r="Y17" s="91">
        <f t="shared" si="299"/>
        <v>0.05</v>
      </c>
      <c r="Z17" s="91">
        <f t="shared" si="300"/>
        <v>0.05</v>
      </c>
      <c r="AA17" s="91">
        <f t="shared" si="301"/>
        <v>0.05</v>
      </c>
      <c r="AB17" s="91">
        <f t="shared" si="302"/>
        <v>0.05</v>
      </c>
      <c r="AC17" s="91">
        <f t="shared" si="303"/>
        <v>0.05</v>
      </c>
      <c r="AD17" s="91">
        <f t="shared" si="304"/>
        <v>0.05</v>
      </c>
      <c r="AE17" s="91">
        <f t="shared" si="305"/>
        <v>0.05</v>
      </c>
      <c r="AF17" s="91">
        <f>(AH17-AE17)/(AH$4-AE$4)+AE17</f>
        <v>0.05</v>
      </c>
      <c r="AG17" s="91">
        <f t="shared" si="306"/>
        <v>0.05</v>
      </c>
      <c r="AH17" s="91">
        <f>I17</f>
        <v>0.05</v>
      </c>
      <c r="AJ17" s="98">
        <f>1-((1-AL17)*K17+(1-AL16)*K16+(1-AL15)*K15)*(1-AK15)</f>
        <v>0.1925</v>
      </c>
      <c r="AK17" s="91">
        <f>AK16</f>
        <v>0.05</v>
      </c>
      <c r="AL17" s="91">
        <v>0.2</v>
      </c>
      <c r="AM17" s="91">
        <v>0.2</v>
      </c>
      <c r="AN17" s="91">
        <v>0.2</v>
      </c>
      <c r="AO17" s="91">
        <f>AN17</f>
        <v>0.2</v>
      </c>
      <c r="AP17" s="95" t="str">
        <f>AQ17&amp;" "&amp;AR17&amp;" "&amp;AS17&amp;" "&amp;AT17&amp;" "&amp;AU17&amp;" "&amp;AV17&amp;" "&amp;AW17&amp;" "&amp;AX17&amp;" "&amp;AY17&amp;" "&amp;AZ17&amp;" "&amp;BA17&amp;" "&amp;BB17&amp;" "&amp;BC17&amp;" "&amp;BD17&amp;" "&amp;BE17&amp;" "&amp;BF17&amp;" "&amp;BG17&amp;" "&amp;BH17&amp;" "&amp;BI17&amp;" "&amp;BJ17&amp;" "&amp;BK17&amp;" "&amp;BL17&amp;" "&amp;BM17&amp;" "&amp;BN17&amp;" "</f>
        <v xml:space="preserve">0.2 0.2 0.2 0.2 0.2 0.2 0.2 0.2 0.2 0.2 0.2 0.2 0.2 0.2 0.2 0.2 0.2 0.2 0.2 0.2 0.2 0.2 0.2 0.2 </v>
      </c>
      <c r="AQ17" s="91">
        <f t="shared" si="307"/>
        <v>0.2</v>
      </c>
      <c r="AR17" s="91">
        <f t="shared" si="308"/>
        <v>0.2</v>
      </c>
      <c r="AS17" s="91">
        <f t="shared" si="309"/>
        <v>0.2</v>
      </c>
      <c r="AT17" s="91">
        <f t="shared" si="310"/>
        <v>0.2</v>
      </c>
      <c r="AU17" s="91">
        <f t="shared" si="311"/>
        <v>0.2</v>
      </c>
      <c r="AV17" s="91">
        <f t="shared" si="312"/>
        <v>0.2</v>
      </c>
      <c r="AW17" s="91">
        <f t="shared" si="313"/>
        <v>0.2</v>
      </c>
      <c r="AX17" s="91">
        <f t="shared" si="314"/>
        <v>0.2</v>
      </c>
      <c r="AY17" s="91">
        <f t="shared" si="315"/>
        <v>0.2</v>
      </c>
      <c r="AZ17" s="91">
        <f t="shared" si="316"/>
        <v>0.2</v>
      </c>
      <c r="BA17" s="91">
        <f t="shared" si="317"/>
        <v>0.2</v>
      </c>
      <c r="BB17" s="91">
        <f t="shared" si="318"/>
        <v>0.2</v>
      </c>
      <c r="BC17" s="91">
        <f t="shared" si="319"/>
        <v>0.2</v>
      </c>
      <c r="BD17" s="91">
        <f t="shared" si="320"/>
        <v>0.2</v>
      </c>
      <c r="BE17" s="91">
        <f t="shared" si="321"/>
        <v>0.2</v>
      </c>
      <c r="BF17" s="91">
        <f t="shared" si="322"/>
        <v>0.2</v>
      </c>
      <c r="BG17" s="91">
        <f t="shared" si="323"/>
        <v>0.2</v>
      </c>
      <c r="BH17" s="91">
        <f t="shared" si="324"/>
        <v>0.2</v>
      </c>
      <c r="BI17" s="91">
        <f t="shared" si="325"/>
        <v>0.2</v>
      </c>
      <c r="BJ17" s="91">
        <f t="shared" si="326"/>
        <v>0.2</v>
      </c>
      <c r="BK17" s="91">
        <f t="shared" si="327"/>
        <v>0.2</v>
      </c>
      <c r="BL17" s="91">
        <f>(BN17-BK17)/(BN$4-BK$4)+BK17</f>
        <v>0.2</v>
      </c>
      <c r="BM17" s="91">
        <f t="shared" si="328"/>
        <v>0.2</v>
      </c>
      <c r="BN17" s="91">
        <f>AO17</f>
        <v>0.2</v>
      </c>
      <c r="BP17" s="17">
        <f ca="1">K17*K18</f>
        <v>187.8</v>
      </c>
      <c r="BQ17" s="17">
        <f t="shared" ref="BQ17" ca="1" si="353">L17*L18</f>
        <v>223.10640000000001</v>
      </c>
      <c r="BR17" s="17">
        <f t="shared" ref="BR17" ca="1" si="354">M17*M18</f>
        <v>262.85990399999997</v>
      </c>
      <c r="BS17" s="17">
        <f t="shared" ref="BS17" ca="1" si="355">N17*N18</f>
        <v>307.54608768000003</v>
      </c>
      <c r="BT17" s="17">
        <f t="shared" ref="BT17" ca="1" si="356">O17*O18</f>
        <v>357.69975736320004</v>
      </c>
      <c r="BU17" s="17">
        <f t="shared" ref="BU17" ca="1" si="357">P17*P18</f>
        <v>413.9097192345601</v>
      </c>
      <c r="BV17" s="17">
        <f t="shared" ref="BV17" ca="1" si="358">Q17*Q18</f>
        <v>506.6254963431017</v>
      </c>
      <c r="BW17" s="17">
        <f t="shared" ref="BW17" ca="1" si="359">R17*R18</f>
        <v>611.52677558590869</v>
      </c>
      <c r="BX17" s="17">
        <f t="shared" ref="BX17" ca="1" si="360">S17*S18</f>
        <v>729.96985633096904</v>
      </c>
      <c r="BY17" s="17">
        <f t="shared" ref="BY17" ca="1" si="361">T17*T18</f>
        <v>863.45005863148924</v>
      </c>
      <c r="BZ17" s="17">
        <f t="shared" ref="BZ17" ca="1" si="362">U17*U18</f>
        <v>1013.6152862195743</v>
      </c>
      <c r="CA17" s="17">
        <f t="shared" ref="CA17" ca="1" si="363">V17*V18</f>
        <v>1094.7045091171401</v>
      </c>
      <c r="CB17" s="17">
        <f t="shared" ref="CB17" ca="1" si="364">W17*W18</f>
        <v>1182.2808698465115</v>
      </c>
      <c r="CC17" s="17">
        <f t="shared" ref="CC17" ca="1" si="365">X17*X18</f>
        <v>1276.8633394342326</v>
      </c>
      <c r="CD17" s="17">
        <f t="shared" ref="CD17" ca="1" si="366">Y17*Y18</f>
        <v>1379.0124065889713</v>
      </c>
      <c r="CE17" s="17">
        <f t="shared" ref="CE17" ca="1" si="367">Z17*Z18</f>
        <v>1475.5432750501993</v>
      </c>
      <c r="CF17" s="17">
        <f t="shared" ref="CF17" ca="1" si="368">AA17*AA18</f>
        <v>1564.0758715532113</v>
      </c>
      <c r="CG17" s="17">
        <f t="shared" ref="CG17" ca="1" si="369">AB17*AB18</f>
        <v>1657.9204238464042</v>
      </c>
      <c r="CH17" s="17">
        <f t="shared" ref="CH17" ca="1" si="370">AC17*AC18</f>
        <v>1757.3956492771886</v>
      </c>
      <c r="CI17" s="17">
        <f t="shared" ref="CI17" ca="1" si="371">AD17*AD18</f>
        <v>1862.8393882338203</v>
      </c>
      <c r="CJ17" s="17">
        <f t="shared" ref="CJ17" ca="1" si="372">AE17*AE18</f>
        <v>1974.6097515278493</v>
      </c>
      <c r="CK17" s="17">
        <f t="shared" ref="CK17" ca="1" si="373">AF17*AF18</f>
        <v>2093.0863366195204</v>
      </c>
      <c r="CL17" s="17">
        <f t="shared" ref="CL17" ca="1" si="374">AG17*AG18</f>
        <v>2658.3985067942049</v>
      </c>
      <c r="CM17" s="17">
        <f t="shared" ref="CM17" ca="1" si="375">AH17*AH18</f>
        <v>2747.5804337261584</v>
      </c>
      <c r="CN17" s="95" t="str">
        <f t="shared" ca="1" si="263"/>
        <v xml:space="preserve">16.3 19.4 22.8 26.7 31 35.9 44 53.1 63.3 74.9 87.9 95 102.6 110.8 119.6 128 135.7 143.8 152.5 161.6 171.3 181.6 230.6 238.4 </v>
      </c>
      <c r="CO17" s="96">
        <f ca="1">ROUND(BP17*(1-AQ17)*(1-$AK17)/8.76*(1+CO$2),1)</f>
        <v>16.3</v>
      </c>
      <c r="CP17" s="96">
        <f t="shared" ca="1" si="264"/>
        <v>19.399999999999999</v>
      </c>
      <c r="CQ17" s="96">
        <f t="shared" ca="1" si="265"/>
        <v>22.8</v>
      </c>
      <c r="CR17" s="96">
        <f t="shared" ca="1" si="266"/>
        <v>26.7</v>
      </c>
      <c r="CS17" s="96">
        <f t="shared" ca="1" si="267"/>
        <v>31</v>
      </c>
      <c r="CT17" s="96">
        <f t="shared" ca="1" si="268"/>
        <v>35.9</v>
      </c>
      <c r="CU17" s="96">
        <f t="shared" ca="1" si="269"/>
        <v>44</v>
      </c>
      <c r="CV17" s="96">
        <f t="shared" ca="1" si="270"/>
        <v>53.1</v>
      </c>
      <c r="CW17" s="96">
        <f t="shared" ca="1" si="271"/>
        <v>63.3</v>
      </c>
      <c r="CX17" s="96">
        <f t="shared" ca="1" si="272"/>
        <v>74.900000000000006</v>
      </c>
      <c r="CY17" s="96">
        <f t="shared" ca="1" si="273"/>
        <v>87.9</v>
      </c>
      <c r="CZ17" s="96">
        <f t="shared" ca="1" si="274"/>
        <v>95</v>
      </c>
      <c r="DA17" s="96">
        <f t="shared" ca="1" si="275"/>
        <v>102.6</v>
      </c>
      <c r="DB17" s="96">
        <f t="shared" ca="1" si="276"/>
        <v>110.8</v>
      </c>
      <c r="DC17" s="96">
        <f t="shared" ca="1" si="277"/>
        <v>119.6</v>
      </c>
      <c r="DD17" s="96">
        <f t="shared" ca="1" si="278"/>
        <v>128</v>
      </c>
      <c r="DE17" s="96">
        <f t="shared" ca="1" si="279"/>
        <v>135.69999999999999</v>
      </c>
      <c r="DF17" s="96">
        <f t="shared" ca="1" si="280"/>
        <v>143.80000000000001</v>
      </c>
      <c r="DG17" s="96">
        <f t="shared" ca="1" si="281"/>
        <v>152.5</v>
      </c>
      <c r="DH17" s="96">
        <f t="shared" ca="1" si="282"/>
        <v>161.6</v>
      </c>
      <c r="DI17" s="96">
        <f t="shared" ca="1" si="283"/>
        <v>171.3</v>
      </c>
      <c r="DJ17" s="96">
        <f t="shared" ca="1" si="284"/>
        <v>181.6</v>
      </c>
      <c r="DK17" s="96">
        <f t="shared" ca="1" si="285"/>
        <v>230.6</v>
      </c>
      <c r="DL17" s="96">
        <f t="shared" ca="1" si="286"/>
        <v>238.4</v>
      </c>
      <c r="DM17" s="95" t="str">
        <f t="shared" si="287"/>
        <v xml:space="preserve">0.8 0.8 0.8 0.8 0.8 0.8 0.8 0.8 0.8 0.8 0.8 0.8 0.8 0.8 0.8 0.8 0.8 0.8 0.8 0.8 0.8 0.8 0.8 0.8 </v>
      </c>
      <c r="DN17" s="91">
        <f t="shared" si="352"/>
        <v>0.8</v>
      </c>
      <c r="DO17" s="91">
        <f t="shared" si="288"/>
        <v>0.8</v>
      </c>
      <c r="DP17" s="91">
        <f t="shared" si="288"/>
        <v>0.8</v>
      </c>
      <c r="DQ17" s="91">
        <f t="shared" si="288"/>
        <v>0.8</v>
      </c>
      <c r="DR17" s="91">
        <f t="shared" si="288"/>
        <v>0.8</v>
      </c>
      <c r="DS17" s="91">
        <f t="shared" si="288"/>
        <v>0.8</v>
      </c>
      <c r="DT17" s="91">
        <f t="shared" si="288"/>
        <v>0.8</v>
      </c>
      <c r="DU17" s="91">
        <f t="shared" si="288"/>
        <v>0.8</v>
      </c>
      <c r="DV17" s="91">
        <f t="shared" si="288"/>
        <v>0.8</v>
      </c>
      <c r="DW17" s="91">
        <f t="shared" si="288"/>
        <v>0.8</v>
      </c>
      <c r="DX17" s="91">
        <f t="shared" si="288"/>
        <v>0.8</v>
      </c>
      <c r="DY17" s="91">
        <f t="shared" si="288"/>
        <v>0.8</v>
      </c>
      <c r="DZ17" s="91">
        <f t="shared" si="288"/>
        <v>0.8</v>
      </c>
      <c r="EA17" s="91">
        <f t="shared" si="288"/>
        <v>0.8</v>
      </c>
      <c r="EB17" s="91">
        <f t="shared" si="288"/>
        <v>0.8</v>
      </c>
      <c r="EC17" s="91">
        <f t="shared" si="288"/>
        <v>0.8</v>
      </c>
      <c r="ED17" s="91">
        <f t="shared" si="288"/>
        <v>0.8</v>
      </c>
      <c r="EE17" s="91">
        <f t="shared" si="289"/>
        <v>0.8</v>
      </c>
      <c r="EF17" s="91">
        <f t="shared" si="289"/>
        <v>0.8</v>
      </c>
      <c r="EG17" s="91">
        <f t="shared" si="289"/>
        <v>0.8</v>
      </c>
      <c r="EH17" s="91">
        <f t="shared" si="289"/>
        <v>0.8</v>
      </c>
      <c r="EI17" s="91">
        <f t="shared" si="289"/>
        <v>0.8</v>
      </c>
      <c r="EJ17" s="91">
        <f t="shared" si="289"/>
        <v>0.8</v>
      </c>
      <c r="EK17" s="91">
        <f t="shared" si="289"/>
        <v>0.8</v>
      </c>
    </row>
    <row r="18" spans="1:141" x14ac:dyDescent="0.25">
      <c r="A18" t="str">
        <f t="shared" si="17"/>
        <v>DRC</v>
      </c>
      <c r="C18" t="str">
        <f>IFERROR(VLOOKUP(D18,PoolPlan_EnergyProj!$C$89:$D$100,2,FALSE),C17)</f>
        <v>DRC</v>
      </c>
      <c r="D18" t="s">
        <v>151</v>
      </c>
      <c r="K18" s="17">
        <f ca="1">OFFSET(PoolPlan_EnergyProj!$B$6,MATCH(K14,PoolPlan_EnergyProj!$B$7:$B$30),MATCH($C18,PoolPlan_EnergyProj!$C$1:$N$1,0))</f>
        <v>9390</v>
      </c>
      <c r="L18" s="17">
        <f ca="1">OFFSET(PoolPlan_EnergyProj!$B$6,MATCH(L14,PoolPlan_EnergyProj!$B$7:$B$30),MATCH($C18,PoolPlan_EnergyProj!$C$1:$N$1,0))</f>
        <v>10141.200000000001</v>
      </c>
      <c r="M18" s="17">
        <f ca="1">OFFSET(PoolPlan_EnergyProj!$B$6,MATCH(M14,PoolPlan_EnergyProj!$B$7:$B$30),MATCH($C18,PoolPlan_EnergyProj!$C$1:$N$1,0))</f>
        <v>10952.496000000001</v>
      </c>
      <c r="N18" s="17">
        <f ca="1">OFFSET(PoolPlan_EnergyProj!$B$6,MATCH(N14,PoolPlan_EnergyProj!$B$7:$B$30),MATCH($C18,PoolPlan_EnergyProj!$C$1:$N$1,0))</f>
        <v>11828.695680000003</v>
      </c>
      <c r="O18" s="17">
        <f ca="1">OFFSET(PoolPlan_EnergyProj!$B$6,MATCH(O14,PoolPlan_EnergyProj!$B$7:$B$30),MATCH($C18,PoolPlan_EnergyProj!$C$1:$N$1,0))</f>
        <v>12774.991334400003</v>
      </c>
      <c r="P18" s="17">
        <f ca="1">OFFSET(PoolPlan_EnergyProj!$B$6,MATCH(P14,PoolPlan_EnergyProj!$B$7:$B$30),MATCH($C18,PoolPlan_EnergyProj!$C$1:$N$1,0))</f>
        <v>13796.990641152004</v>
      </c>
      <c r="Q18" s="17">
        <f ca="1">OFFSET(PoolPlan_EnergyProj!$B$6,MATCH(Q14,PoolPlan_EnergyProj!$B$7:$B$30),MATCH($C18,PoolPlan_EnergyProj!$C$1:$N$1,0))</f>
        <v>14900.749892444166</v>
      </c>
      <c r="R18" s="17">
        <f ca="1">OFFSET(PoolPlan_EnergyProj!$B$6,MATCH(R14,PoolPlan_EnergyProj!$B$7:$B$30),MATCH($C18,PoolPlan_EnergyProj!$C$1:$N$1,0))</f>
        <v>16092.8098838397</v>
      </c>
      <c r="S18" s="17">
        <f ca="1">OFFSET(PoolPlan_EnergyProj!$B$6,MATCH(S14,PoolPlan_EnergyProj!$B$7:$B$30),MATCH($C18,PoolPlan_EnergyProj!$C$1:$N$1,0))</f>
        <v>17380.234674546879</v>
      </c>
      <c r="T18" s="17">
        <f ca="1">OFFSET(PoolPlan_EnergyProj!$B$6,MATCH(T14,PoolPlan_EnergyProj!$B$7:$B$30),MATCH($C18,PoolPlan_EnergyProj!$C$1:$N$1,0))</f>
        <v>18770.653448510631</v>
      </c>
      <c r="U18" s="17">
        <f ca="1">OFFSET(PoolPlan_EnergyProj!$B$6,MATCH(U14,PoolPlan_EnergyProj!$B$7:$B$30),MATCH($C18,PoolPlan_EnergyProj!$C$1:$N$1,0))</f>
        <v>20272.305724391485</v>
      </c>
      <c r="V18" s="17">
        <f ca="1">OFFSET(PoolPlan_EnergyProj!$B$6,MATCH(V14,PoolPlan_EnergyProj!$B$7:$B$30),MATCH($C18,PoolPlan_EnergyProj!$C$1:$N$1,0))</f>
        <v>21894.090182342803</v>
      </c>
      <c r="W18" s="17">
        <f ca="1">OFFSET(PoolPlan_EnergyProj!$B$6,MATCH(W14,PoolPlan_EnergyProj!$B$7:$B$30),MATCH($C18,PoolPlan_EnergyProj!$C$1:$N$1,0))</f>
        <v>23645.617396930229</v>
      </c>
      <c r="X18" s="17">
        <f ca="1">OFFSET(PoolPlan_EnergyProj!$B$6,MATCH(X14,PoolPlan_EnergyProj!$B$7:$B$30),MATCH($C18,PoolPlan_EnergyProj!$C$1:$N$1,0))</f>
        <v>25537.26678868465</v>
      </c>
      <c r="Y18" s="17">
        <f ca="1">OFFSET(PoolPlan_EnergyProj!$B$6,MATCH(Y14,PoolPlan_EnergyProj!$B$7:$B$30),MATCH($C18,PoolPlan_EnergyProj!$C$1:$N$1,0))</f>
        <v>27580.248131779423</v>
      </c>
      <c r="Z18" s="17">
        <f ca="1">OFFSET(PoolPlan_EnergyProj!$B$6,MATCH(Z14,PoolPlan_EnergyProj!$B$7:$B$30),MATCH($C18,PoolPlan_EnergyProj!$C$1:$N$1,0))</f>
        <v>29510.865501003984</v>
      </c>
      <c r="AA18" s="17">
        <f ca="1">OFFSET(PoolPlan_EnergyProj!$B$6,MATCH(AA14,PoolPlan_EnergyProj!$B$7:$B$30),MATCH($C18,PoolPlan_EnergyProj!$C$1:$N$1,0))</f>
        <v>31281.517431064225</v>
      </c>
      <c r="AB18" s="17">
        <f ca="1">OFFSET(PoolPlan_EnergyProj!$B$6,MATCH(AB14,PoolPlan_EnergyProj!$B$7:$B$30),MATCH($C18,PoolPlan_EnergyProj!$C$1:$N$1,0))</f>
        <v>33158.408476928082</v>
      </c>
      <c r="AC18" s="17">
        <f ca="1">OFFSET(PoolPlan_EnergyProj!$B$6,MATCH(AC14,PoolPlan_EnergyProj!$B$7:$B$30),MATCH($C18,PoolPlan_EnergyProj!$C$1:$N$1,0))</f>
        <v>35147.912985543771</v>
      </c>
      <c r="AD18" s="17">
        <f ca="1">OFFSET(PoolPlan_EnergyProj!$B$6,MATCH(AD14,PoolPlan_EnergyProj!$B$7:$B$30),MATCH($C18,PoolPlan_EnergyProj!$C$1:$N$1,0))</f>
        <v>37256.787764676403</v>
      </c>
      <c r="AE18" s="17">
        <f ca="1">OFFSET(PoolPlan_EnergyProj!$B$6,MATCH(AE14,PoolPlan_EnergyProj!$B$7:$B$30),MATCH($C18,PoolPlan_EnergyProj!$C$1:$N$1,0))</f>
        <v>39492.195030556984</v>
      </c>
      <c r="AF18" s="17">
        <f ca="1">OFFSET(PoolPlan_EnergyProj!$B$6,MATCH(AF14,PoolPlan_EnergyProj!$B$7:$B$30),MATCH($C18,PoolPlan_EnergyProj!$C$1:$N$1,0))</f>
        <v>41861.726732390409</v>
      </c>
      <c r="AG18" s="17">
        <f ca="1">OFFSET(PoolPlan_EnergyProj!$B$6,MATCH(AG14,PoolPlan_EnergyProj!$B$7:$B$30),MATCH($C18,PoolPlan_EnergyProj!$C$1:$N$1,0))</f>
        <v>53167.970135884098</v>
      </c>
      <c r="AH18" s="17">
        <f ca="1">OFFSET(PoolPlan_EnergyProj!$B$6,MATCH(AH14,PoolPlan_EnergyProj!$B$7:$B$30),MATCH($C18,PoolPlan_EnergyProj!$C$1:$N$1,0))</f>
        <v>54951.608674523166</v>
      </c>
      <c r="BP18" s="17">
        <f ca="1">SUM(BP15:BP17)</f>
        <v>9390</v>
      </c>
      <c r="BQ18" s="17">
        <f t="shared" ref="BQ18:CM18" ca="1" si="376">SUM(BQ15:BQ17)</f>
        <v>10141.200000000001</v>
      </c>
      <c r="BR18" s="17">
        <f t="shared" ca="1" si="376"/>
        <v>10952.496000000003</v>
      </c>
      <c r="BS18" s="17">
        <f t="shared" ca="1" si="376"/>
        <v>11828.695680000003</v>
      </c>
      <c r="BT18" s="17">
        <f t="shared" ca="1" si="376"/>
        <v>12774.991334400003</v>
      </c>
      <c r="BU18" s="17">
        <f t="shared" ca="1" si="376"/>
        <v>13796.990641152004</v>
      </c>
      <c r="BV18" s="17">
        <f t="shared" ca="1" si="376"/>
        <v>14900.749892444168</v>
      </c>
      <c r="BW18" s="17">
        <f t="shared" ca="1" si="376"/>
        <v>16092.809883839702</v>
      </c>
      <c r="BX18" s="17">
        <f t="shared" ca="1" si="376"/>
        <v>17380.234674546879</v>
      </c>
      <c r="BY18" s="17">
        <f t="shared" ca="1" si="376"/>
        <v>18770.653448510635</v>
      </c>
      <c r="BZ18" s="17">
        <f t="shared" ca="1" si="376"/>
        <v>20272.305724391485</v>
      </c>
      <c r="CA18" s="17">
        <f t="shared" ca="1" si="376"/>
        <v>21894.090182342803</v>
      </c>
      <c r="CB18" s="17">
        <f t="shared" ca="1" si="376"/>
        <v>23645.617396930229</v>
      </c>
      <c r="CC18" s="17">
        <f t="shared" ca="1" si="376"/>
        <v>25537.26678868465</v>
      </c>
      <c r="CD18" s="17">
        <f t="shared" ca="1" si="376"/>
        <v>27580.248131779423</v>
      </c>
      <c r="CE18" s="17">
        <f t="shared" ca="1" si="376"/>
        <v>29510.865501003987</v>
      </c>
      <c r="CF18" s="17">
        <f t="shared" ca="1" si="376"/>
        <v>31281.517431064225</v>
      </c>
      <c r="CG18" s="17">
        <f t="shared" ca="1" si="376"/>
        <v>33158.408476928082</v>
      </c>
      <c r="CH18" s="17">
        <f t="shared" ca="1" si="376"/>
        <v>35147.912985543771</v>
      </c>
      <c r="CI18" s="17">
        <f t="shared" ca="1" si="376"/>
        <v>37256.787764676403</v>
      </c>
      <c r="CJ18" s="17">
        <f t="shared" ca="1" si="376"/>
        <v>39492.195030556992</v>
      </c>
      <c r="CK18" s="17">
        <f t="shared" ca="1" si="376"/>
        <v>41861.726732390409</v>
      </c>
      <c r="CL18" s="17">
        <f t="shared" ca="1" si="376"/>
        <v>53167.970135884105</v>
      </c>
      <c r="CM18" s="17">
        <f t="shared" ca="1" si="376"/>
        <v>54951.608674523166</v>
      </c>
    </row>
    <row r="19" spans="1:141" x14ac:dyDescent="0.25">
      <c r="A19" t="str">
        <f t="shared" si="17"/>
        <v>LES</v>
      </c>
      <c r="C19" t="str">
        <f>IFERROR(VLOOKUP(D19,PoolPlan_EnergyProj!$C$89:$D$100,2,FALSE),C18)</f>
        <v>LES</v>
      </c>
      <c r="D19" s="93" t="s">
        <v>16</v>
      </c>
      <c r="E19">
        <v>2010</v>
      </c>
      <c r="F19">
        <v>2015</v>
      </c>
      <c r="G19">
        <v>2020</v>
      </c>
      <c r="H19">
        <v>2030</v>
      </c>
      <c r="I19">
        <f>I14</f>
        <v>2050</v>
      </c>
      <c r="K19">
        <v>2010</v>
      </c>
      <c r="L19">
        <f>K19+1</f>
        <v>2011</v>
      </c>
      <c r="M19">
        <f t="shared" ref="M19:AF19" si="377">L19+1</f>
        <v>2012</v>
      </c>
      <c r="N19">
        <f t="shared" si="377"/>
        <v>2013</v>
      </c>
      <c r="O19">
        <f t="shared" si="377"/>
        <v>2014</v>
      </c>
      <c r="P19">
        <f t="shared" si="377"/>
        <v>2015</v>
      </c>
      <c r="Q19">
        <f t="shared" si="377"/>
        <v>2016</v>
      </c>
      <c r="R19">
        <f t="shared" si="377"/>
        <v>2017</v>
      </c>
      <c r="S19">
        <f t="shared" si="377"/>
        <v>2018</v>
      </c>
      <c r="T19">
        <f t="shared" si="377"/>
        <v>2019</v>
      </c>
      <c r="U19">
        <f t="shared" si="377"/>
        <v>2020</v>
      </c>
      <c r="V19">
        <f t="shared" si="377"/>
        <v>2021</v>
      </c>
      <c r="W19">
        <f t="shared" si="377"/>
        <v>2022</v>
      </c>
      <c r="X19">
        <f t="shared" si="377"/>
        <v>2023</v>
      </c>
      <c r="Y19">
        <f t="shared" si="377"/>
        <v>2024</v>
      </c>
      <c r="Z19">
        <f t="shared" si="377"/>
        <v>2025</v>
      </c>
      <c r="AA19">
        <f t="shared" si="377"/>
        <v>2026</v>
      </c>
      <c r="AB19">
        <f t="shared" si="377"/>
        <v>2027</v>
      </c>
      <c r="AC19">
        <f t="shared" si="377"/>
        <v>2028</v>
      </c>
      <c r="AD19">
        <f t="shared" si="377"/>
        <v>2029</v>
      </c>
      <c r="AE19">
        <f t="shared" si="377"/>
        <v>2030</v>
      </c>
      <c r="AF19">
        <f t="shared" si="377"/>
        <v>2031</v>
      </c>
      <c r="AG19">
        <v>2040</v>
      </c>
      <c r="AH19">
        <v>2050</v>
      </c>
      <c r="AL19">
        <f>E19</f>
        <v>2010</v>
      </c>
      <c r="AM19">
        <f>G19</f>
        <v>2020</v>
      </c>
      <c r="AN19">
        <f>H19</f>
        <v>2030</v>
      </c>
      <c r="AO19">
        <f>I19</f>
        <v>2050</v>
      </c>
      <c r="AQ19">
        <v>2010</v>
      </c>
      <c r="AR19">
        <f>AQ19+1</f>
        <v>2011</v>
      </c>
      <c r="AS19">
        <f t="shared" ref="AS19:BL19" si="378">AR19+1</f>
        <v>2012</v>
      </c>
      <c r="AT19">
        <f t="shared" si="378"/>
        <v>2013</v>
      </c>
      <c r="AU19">
        <f t="shared" si="378"/>
        <v>2014</v>
      </c>
      <c r="AV19">
        <f t="shared" si="378"/>
        <v>2015</v>
      </c>
      <c r="AW19">
        <f t="shared" si="378"/>
        <v>2016</v>
      </c>
      <c r="AX19">
        <f t="shared" si="378"/>
        <v>2017</v>
      </c>
      <c r="AY19">
        <f t="shared" si="378"/>
        <v>2018</v>
      </c>
      <c r="AZ19">
        <f t="shared" si="378"/>
        <v>2019</v>
      </c>
      <c r="BA19">
        <f t="shared" si="378"/>
        <v>2020</v>
      </c>
      <c r="BB19">
        <f t="shared" si="378"/>
        <v>2021</v>
      </c>
      <c r="BC19">
        <f t="shared" si="378"/>
        <v>2022</v>
      </c>
      <c r="BD19">
        <f t="shared" si="378"/>
        <v>2023</v>
      </c>
      <c r="BE19">
        <f t="shared" si="378"/>
        <v>2024</v>
      </c>
      <c r="BF19">
        <f t="shared" si="378"/>
        <v>2025</v>
      </c>
      <c r="BG19">
        <f t="shared" si="378"/>
        <v>2026</v>
      </c>
      <c r="BH19">
        <f t="shared" si="378"/>
        <v>2027</v>
      </c>
      <c r="BI19">
        <f t="shared" si="378"/>
        <v>2028</v>
      </c>
      <c r="BJ19">
        <f t="shared" si="378"/>
        <v>2029</v>
      </c>
      <c r="BK19">
        <f t="shared" si="378"/>
        <v>2030</v>
      </c>
      <c r="BL19">
        <f t="shared" si="378"/>
        <v>2031</v>
      </c>
      <c r="BM19">
        <v>2040</v>
      </c>
      <c r="BN19">
        <v>2050</v>
      </c>
      <c r="BP19">
        <f>AQ19</f>
        <v>2010</v>
      </c>
      <c r="BQ19">
        <f t="shared" ref="BQ19:CM19" si="379">AR19</f>
        <v>2011</v>
      </c>
      <c r="BR19">
        <f t="shared" si="379"/>
        <v>2012</v>
      </c>
      <c r="BS19">
        <f t="shared" si="379"/>
        <v>2013</v>
      </c>
      <c r="BT19">
        <f t="shared" si="379"/>
        <v>2014</v>
      </c>
      <c r="BU19">
        <f t="shared" si="379"/>
        <v>2015</v>
      </c>
      <c r="BV19">
        <f t="shared" si="379"/>
        <v>2016</v>
      </c>
      <c r="BW19">
        <f t="shared" si="379"/>
        <v>2017</v>
      </c>
      <c r="BX19">
        <f t="shared" si="379"/>
        <v>2018</v>
      </c>
      <c r="BY19">
        <f t="shared" si="379"/>
        <v>2019</v>
      </c>
      <c r="BZ19">
        <f t="shared" si="379"/>
        <v>2020</v>
      </c>
      <c r="CA19">
        <f t="shared" si="379"/>
        <v>2021</v>
      </c>
      <c r="CB19">
        <f t="shared" si="379"/>
        <v>2022</v>
      </c>
      <c r="CC19">
        <f t="shared" si="379"/>
        <v>2023</v>
      </c>
      <c r="CD19">
        <f t="shared" si="379"/>
        <v>2024</v>
      </c>
      <c r="CE19">
        <f t="shared" si="379"/>
        <v>2025</v>
      </c>
      <c r="CF19">
        <f t="shared" si="379"/>
        <v>2026</v>
      </c>
      <c r="CG19">
        <f t="shared" si="379"/>
        <v>2027</v>
      </c>
      <c r="CH19">
        <f t="shared" si="379"/>
        <v>2028</v>
      </c>
      <c r="CI19">
        <f t="shared" si="379"/>
        <v>2029</v>
      </c>
      <c r="CJ19">
        <f t="shared" si="379"/>
        <v>2030</v>
      </c>
      <c r="CK19">
        <f t="shared" si="379"/>
        <v>2031</v>
      </c>
      <c r="CL19">
        <f t="shared" si="379"/>
        <v>2040</v>
      </c>
      <c r="CM19">
        <f t="shared" si="379"/>
        <v>2050</v>
      </c>
      <c r="CO19">
        <f>BP19</f>
        <v>2010</v>
      </c>
      <c r="CP19">
        <f t="shared" ref="CP19:DD19" si="380">BQ19</f>
        <v>2011</v>
      </c>
      <c r="CQ19">
        <f t="shared" si="380"/>
        <v>2012</v>
      </c>
      <c r="CR19">
        <f t="shared" si="380"/>
        <v>2013</v>
      </c>
      <c r="CS19">
        <f t="shared" si="380"/>
        <v>2014</v>
      </c>
      <c r="CT19">
        <f t="shared" si="380"/>
        <v>2015</v>
      </c>
      <c r="CU19">
        <f t="shared" si="380"/>
        <v>2016</v>
      </c>
      <c r="CV19">
        <f t="shared" si="380"/>
        <v>2017</v>
      </c>
      <c r="CW19">
        <f t="shared" si="380"/>
        <v>2018</v>
      </c>
      <c r="CX19">
        <f t="shared" si="380"/>
        <v>2019</v>
      </c>
      <c r="CY19">
        <f t="shared" si="380"/>
        <v>2020</v>
      </c>
      <c r="CZ19">
        <f t="shared" si="380"/>
        <v>2021</v>
      </c>
      <c r="DA19">
        <f t="shared" si="380"/>
        <v>2022</v>
      </c>
      <c r="DB19">
        <f t="shared" si="380"/>
        <v>2023</v>
      </c>
      <c r="DC19">
        <f t="shared" si="380"/>
        <v>2024</v>
      </c>
      <c r="DD19">
        <f t="shared" si="380"/>
        <v>2025</v>
      </c>
      <c r="DE19">
        <f>CF19</f>
        <v>2026</v>
      </c>
      <c r="DF19">
        <f t="shared" ref="DF19:DG19" si="381">CG19</f>
        <v>2027</v>
      </c>
      <c r="DG19">
        <f t="shared" si="381"/>
        <v>2028</v>
      </c>
      <c r="DH19">
        <f>CI19</f>
        <v>2029</v>
      </c>
      <c r="DI19">
        <f t="shared" ref="DI19" si="382">CJ19</f>
        <v>2030</v>
      </c>
      <c r="DJ19">
        <f>CK19</f>
        <v>2031</v>
      </c>
      <c r="DK19">
        <f>CL19</f>
        <v>2040</v>
      </c>
      <c r="DL19">
        <f t="shared" ref="DL19" si="383">CM19</f>
        <v>2050</v>
      </c>
    </row>
    <row r="20" spans="1:141" x14ac:dyDescent="0.25">
      <c r="A20" t="str">
        <f t="shared" si="17"/>
        <v>IndustryLES</v>
      </c>
      <c r="B20" t="str">
        <f t="shared" ref="B20:B22" si="384">B15</f>
        <v>Industry</v>
      </c>
      <c r="C20" t="str">
        <f>IFERROR(VLOOKUP(D20,PoolPlan_EnergyProj!$C$89:$D$100,2,FALSE),C19)</f>
        <v>LES</v>
      </c>
      <c r="D20" t="s">
        <v>146</v>
      </c>
      <c r="E20" s="91">
        <v>0.1</v>
      </c>
      <c r="F20" s="91">
        <v>0.15</v>
      </c>
      <c r="G20" s="91">
        <v>0.2</v>
      </c>
      <c r="H20" s="91">
        <v>0.2</v>
      </c>
      <c r="I20" s="91">
        <v>0.2</v>
      </c>
      <c r="K20" s="91">
        <f>E20</f>
        <v>0.1</v>
      </c>
      <c r="L20" s="91">
        <f>($P20-$K20)/($P$4-$K$4)+K20</f>
        <v>0.11</v>
      </c>
      <c r="M20" s="91">
        <f t="shared" ref="M20:O20" si="385">($P20-$K20)/($P$4-$K$4)+L20</f>
        <v>0.12</v>
      </c>
      <c r="N20" s="91">
        <f t="shared" si="385"/>
        <v>0.13</v>
      </c>
      <c r="O20" s="91">
        <f t="shared" si="385"/>
        <v>0.14000000000000001</v>
      </c>
      <c r="P20" s="91">
        <f>F20</f>
        <v>0.15</v>
      </c>
      <c r="Q20" s="91">
        <f>($U20-$P20)/($U$4-$P$4)+P20</f>
        <v>0.16</v>
      </c>
      <c r="R20" s="91">
        <f t="shared" ref="R20:T20" si="386">($U20-$P20)/($U$4-$P$4)+Q20</f>
        <v>0.17</v>
      </c>
      <c r="S20" s="91">
        <f t="shared" si="386"/>
        <v>0.18000000000000002</v>
      </c>
      <c r="T20" s="91">
        <f t="shared" si="386"/>
        <v>0.19000000000000003</v>
      </c>
      <c r="U20" s="91">
        <f>G20</f>
        <v>0.2</v>
      </c>
      <c r="V20" s="91">
        <f>(AE20-U20)/(AE$4-U$4)+U20</f>
        <v>0.2</v>
      </c>
      <c r="W20" s="91">
        <f>(AE20-U20)/(AE$4-U$4)+V20</f>
        <v>0.2</v>
      </c>
      <c r="X20" s="91">
        <f>(AE20-U20)/(AE$4-U$4)+W20</f>
        <v>0.2</v>
      </c>
      <c r="Y20" s="91">
        <f>(AE20-U20)/(AE$4-U$4)+X20</f>
        <v>0.2</v>
      </c>
      <c r="Z20" s="91">
        <f>(AE20-U20)/(AE$4-U$4)+Y20</f>
        <v>0.2</v>
      </c>
      <c r="AA20" s="91">
        <f>(AE20-U20)/(AE$4-U$4)+Z20</f>
        <v>0.2</v>
      </c>
      <c r="AB20" s="91">
        <f>(AE20-U20)/(AE$4-U$4)+AA20</f>
        <v>0.2</v>
      </c>
      <c r="AC20" s="91">
        <f>(AE20-U20)/(AE$4-U$4)+AB20</f>
        <v>0.2</v>
      </c>
      <c r="AD20" s="91">
        <f>(AE20-U20)/(AE$4-U$4)+AC20</f>
        <v>0.2</v>
      </c>
      <c r="AE20" s="91">
        <f>H20</f>
        <v>0.2</v>
      </c>
      <c r="AF20" s="91">
        <f>(AH20-AE20)/(AH$4-AE$4)+AE20</f>
        <v>0.2</v>
      </c>
      <c r="AG20" s="91">
        <f>(AE20+AH20)/2</f>
        <v>0.2</v>
      </c>
      <c r="AH20" s="91">
        <f>I20</f>
        <v>0.2</v>
      </c>
      <c r="AJ20" s="94">
        <f>SUMIF(AR2008_Stats!$A$18:$A$29,C20,AR2008_Stats!$T$18:$T$29)</f>
        <v>0.14500000000000002</v>
      </c>
      <c r="AK20" s="91">
        <f>SUMIF(AR2008_Stats!$A$18:$A$29,C20,AR2008_Stats!$R$18:$R$29)</f>
        <v>0.05</v>
      </c>
      <c r="AL20" s="83">
        <v>0.02</v>
      </c>
      <c r="AM20" s="91">
        <v>0.02</v>
      </c>
      <c r="AN20" s="91">
        <v>0.01</v>
      </c>
      <c r="AO20" s="91">
        <v>0.01</v>
      </c>
      <c r="AP20" s="95" t="str">
        <f>AQ20&amp;" "&amp;AR20&amp;" "&amp;AS20&amp;" "&amp;AT20&amp;" "&amp;AU20&amp;" "&amp;AV20&amp;" "&amp;AW20&amp;" "&amp;AX20&amp;" "&amp;AY20&amp;" "&amp;AZ20&amp;" "&amp;BA20&amp;" "&amp;BB20&amp;" "&amp;BC20&amp;" "&amp;BD20&amp;" "&amp;BE20&amp;" "&amp;BF20&amp;" "&amp;BG20&amp;" "&amp;BH20&amp;" "&amp;BI20&amp;" "&amp;BJ20&amp;" "&amp;BK20&amp;" "&amp;BL20&amp;" "&amp;BM20&amp;" "&amp;BN20&amp;" "</f>
        <v xml:space="preserve">0.02 0.02 0.02 0.02 0.02 0.02 0.02 0.02 0.02 0.02 0.02 0.019 0.018 0.017 0.016 0.015 0.014 0.013 0.012 0.011 0.01 0.01 0.01 0.01 </v>
      </c>
      <c r="AQ20" s="91">
        <f>AL20</f>
        <v>0.02</v>
      </c>
      <c r="AR20" s="91">
        <f>(BA20-AQ20)/(BA$4-AQ$4)+AQ20</f>
        <v>0.02</v>
      </c>
      <c r="AS20" s="91">
        <f>(BA20-AQ20)/(BA$4-AQ$4)+AR20</f>
        <v>0.02</v>
      </c>
      <c r="AT20" s="91">
        <f>(BA20-AQ20)/(BA$4-AQ$4)+AS20</f>
        <v>0.02</v>
      </c>
      <c r="AU20" s="91">
        <f>(BA20-AQ20)/(BA$4-AQ$4)+AT20</f>
        <v>0.02</v>
      </c>
      <c r="AV20" s="91">
        <f>(BA20-AQ20)/(BA$4-AQ$4)+AU20</f>
        <v>0.02</v>
      </c>
      <c r="AW20" s="91">
        <f>(BA20-AQ20)/(BA$4-AQ$4)+AV20</f>
        <v>0.02</v>
      </c>
      <c r="AX20" s="91">
        <f>(BA20-AQ20)/(BA$4-AQ$4)+AW20</f>
        <v>0.02</v>
      </c>
      <c r="AY20" s="91">
        <f>(BA20-AQ20)/(BA$4-AQ$4)+AX20</f>
        <v>0.02</v>
      </c>
      <c r="AZ20" s="91">
        <f>(BA20-AQ20)/(BA$4-AQ$4)+AY20</f>
        <v>0.02</v>
      </c>
      <c r="BA20" s="91">
        <f>AM20</f>
        <v>0.02</v>
      </c>
      <c r="BB20" s="91">
        <f>(BK20-BA20)/(BK$4-BA$4)+BA20</f>
        <v>1.9E-2</v>
      </c>
      <c r="BC20" s="91">
        <f>(BK20-BA20)/(BK$4-BA$4)+BB20</f>
        <v>1.7999999999999999E-2</v>
      </c>
      <c r="BD20" s="91">
        <f>(BK20-BA20)/(BK$4-BA$4)+BC20</f>
        <v>1.6999999999999998E-2</v>
      </c>
      <c r="BE20" s="91">
        <f>(BK20-BA20)/(BK$4-BA$4)+BD20</f>
        <v>1.5999999999999997E-2</v>
      </c>
      <c r="BF20" s="91">
        <f>(BK20-BA20)/(BK$4-BA$4)+BE20</f>
        <v>1.4999999999999996E-2</v>
      </c>
      <c r="BG20" s="91">
        <f>(BK20-BA20)/(BK$4-BA$4)+BF20</f>
        <v>1.3999999999999995E-2</v>
      </c>
      <c r="BH20" s="91">
        <f>(BK20-BA20)/(BK$4-BA$4)+BG20</f>
        <v>1.2999999999999994E-2</v>
      </c>
      <c r="BI20" s="91">
        <f>(BK20-BA20)/(BK$4-BA$4)+BH20</f>
        <v>1.1999999999999993E-2</v>
      </c>
      <c r="BJ20" s="91">
        <f>(BK20-BA20)/(BK$4-BA$4)+BI20</f>
        <v>1.0999999999999992E-2</v>
      </c>
      <c r="BK20" s="91">
        <f>AN20</f>
        <v>0.01</v>
      </c>
      <c r="BL20" s="91">
        <f>(BN20-BK20)/(BN$4-BK$4)+BK20</f>
        <v>0.01</v>
      </c>
      <c r="BM20" s="91">
        <f>(BK20+BN20)/2</f>
        <v>0.01</v>
      </c>
      <c r="BN20" s="91">
        <f>AO20</f>
        <v>0.01</v>
      </c>
      <c r="BP20" s="17">
        <f ca="1">K20*K23</f>
        <v>57.6</v>
      </c>
      <c r="BQ20" s="17">
        <f t="shared" ref="BQ20" ca="1" si="387">L20*L23</f>
        <v>66</v>
      </c>
      <c r="BR20" s="17">
        <f t="shared" ref="BR20" ca="1" si="388">M20*M23</f>
        <v>75</v>
      </c>
      <c r="BS20" s="17">
        <f t="shared" ref="BS20" ca="1" si="389">N20*N23</f>
        <v>84.63000000000001</v>
      </c>
      <c r="BT20" s="17">
        <f t="shared" ref="BT20" ca="1" si="390">O20*O23</f>
        <v>94.920000000000016</v>
      </c>
      <c r="BU20" s="17">
        <f t="shared" ref="BU20" ca="1" si="391">P20*P23</f>
        <v>105.89999999999999</v>
      </c>
      <c r="BV20" s="17">
        <f t="shared" ref="BV20" ca="1" si="392">Q20*Q23</f>
        <v>117.76</v>
      </c>
      <c r="BW20" s="17">
        <f t="shared" ref="BW20" ca="1" si="393">R20*R23</f>
        <v>130.39000000000001</v>
      </c>
      <c r="BX20" s="17">
        <f t="shared" ref="BX20" ca="1" si="394">S20*S23</f>
        <v>143.64000000000001</v>
      </c>
      <c r="BY20" s="17">
        <f t="shared" ref="BY20" ca="1" si="395">T20*T23</f>
        <v>158.08000000000001</v>
      </c>
      <c r="BZ20" s="17">
        <f t="shared" ref="BZ20" ca="1" si="396">U20*U23</f>
        <v>173.20000000000002</v>
      </c>
      <c r="CA20" s="17">
        <f t="shared" ref="CA20" ca="1" si="397">V20*V23</f>
        <v>180.4</v>
      </c>
      <c r="CB20" s="17">
        <f t="shared" ref="CB20" ca="1" si="398">W20*W23</f>
        <v>188</v>
      </c>
      <c r="CC20" s="17">
        <f t="shared" ref="CC20" ca="1" si="399">X20*X23</f>
        <v>195.8</v>
      </c>
      <c r="CD20" s="17">
        <f t="shared" ref="CD20" ca="1" si="400">Y20*Y23</f>
        <v>204</v>
      </c>
      <c r="CE20" s="17">
        <f t="shared" ref="CE20" ca="1" si="401">Z20*Z23</f>
        <v>212.60000000000002</v>
      </c>
      <c r="CF20" s="17">
        <f t="shared" ref="CF20" ca="1" si="402">AA20*AA23</f>
        <v>221.32951933532374</v>
      </c>
      <c r="CG20" s="17">
        <f t="shared" ref="CG20" ca="1" si="403">AB20*AB23</f>
        <v>230.8883709409198</v>
      </c>
      <c r="CH20" s="17">
        <f t="shared" ref="CH20" ca="1" si="404">AC20*AC23</f>
        <v>240.86005335323426</v>
      </c>
      <c r="CI20" s="17">
        <f t="shared" ref="CI20" ca="1" si="405">AD20*AD23</f>
        <v>251.2049000022657</v>
      </c>
      <c r="CJ20" s="17">
        <f t="shared" ref="CJ20" ca="1" si="406">AE20*AE23</f>
        <v>261.77367517486869</v>
      </c>
      <c r="CK20" s="17">
        <f t="shared" ref="CK20" ca="1" si="407">AF20*AF23</f>
        <v>270.20851270831582</v>
      </c>
      <c r="CL20" s="17">
        <f t="shared" ref="CL20" ca="1" si="408">AG20*AG23</f>
        <v>404.56169877428061</v>
      </c>
      <c r="CM20" s="17">
        <f t="shared" ref="CM20" ca="1" si="409">AH20*AH23</f>
        <v>630.97418554426565</v>
      </c>
      <c r="CN20" s="95" t="str">
        <f t="shared" ref="CN20:CN22" ca="1" si="410">CO20&amp;" "&amp;CP20&amp;" "&amp;CQ20&amp;" "&amp;CR20&amp;" "&amp;CS20&amp;" "&amp;CT20&amp;" "&amp;CU20&amp;" "&amp;CV20&amp;" "&amp;CW20&amp;" "&amp;CX20&amp;" "&amp;CY20&amp;" "&amp;CZ20&amp;" "&amp;DA20&amp;" "&amp;DB20&amp;" "&amp;DC20&amp;" "&amp;DD20&amp;" "&amp;DE20&amp;" "&amp;DF20&amp;" "&amp;DG20&amp;" "&amp;DH20&amp;" "&amp;DI20&amp;" "&amp;DJ20&amp;" "&amp;DK20&amp;" "&amp;DL20&amp;" "</f>
        <v xml:space="preserve">6.1 7 8 9 10.1 11.3 12.5 13.9 15.3 16.8 18.4 19.2 20 20.9 21.8 22.7 23.7 24.7 25.8 26.9 28.1 29 43.4 67.7 </v>
      </c>
      <c r="CO20" s="96">
        <f ca="1">ROUND(BP20*(1-AQ20)*(1-$AK20)/8.76*(1+CO$2),1)</f>
        <v>6.1</v>
      </c>
      <c r="CP20" s="96">
        <f t="shared" ref="CP20:CP22" ca="1" si="411">ROUND(BQ20*(1-AR20)*(1-$AK20)/8.76*(1+CP$2),1)</f>
        <v>7</v>
      </c>
      <c r="CQ20" s="96">
        <f t="shared" ref="CQ20:CQ22" ca="1" si="412">ROUND(BR20*(1-AS20)*(1-$AK20)/8.76*(1+CQ$2),1)</f>
        <v>8</v>
      </c>
      <c r="CR20" s="96">
        <f t="shared" ref="CR20:CR22" ca="1" si="413">ROUND(BS20*(1-AT20)*(1-$AK20)/8.76*(1+CR$2),1)</f>
        <v>9</v>
      </c>
      <c r="CS20" s="96">
        <f t="shared" ref="CS20:CS22" ca="1" si="414">ROUND(BT20*(1-AU20)*(1-$AK20)/8.76*(1+CS$2),1)</f>
        <v>10.1</v>
      </c>
      <c r="CT20" s="96">
        <f t="shared" ref="CT20:CT22" ca="1" si="415">ROUND(BU20*(1-AV20)*(1-$AK20)/8.76*(1+CT$2),1)</f>
        <v>11.3</v>
      </c>
      <c r="CU20" s="96">
        <f t="shared" ref="CU20:CU22" ca="1" si="416">ROUND(BV20*(1-AW20)*(1-$AK20)/8.76*(1+CU$2),1)</f>
        <v>12.5</v>
      </c>
      <c r="CV20" s="96">
        <f t="shared" ref="CV20:CV22" ca="1" si="417">ROUND(BW20*(1-AX20)*(1-$AK20)/8.76*(1+CV$2),1)</f>
        <v>13.9</v>
      </c>
      <c r="CW20" s="96">
        <f t="shared" ref="CW20:CW22" ca="1" si="418">ROUND(BX20*(1-AY20)*(1-$AK20)/8.76*(1+CW$2),1)</f>
        <v>15.3</v>
      </c>
      <c r="CX20" s="96">
        <f t="shared" ref="CX20:CX22" ca="1" si="419">ROUND(BY20*(1-AZ20)*(1-$AK20)/8.76*(1+CX$2),1)</f>
        <v>16.8</v>
      </c>
      <c r="CY20" s="96">
        <f t="shared" ref="CY20:CY22" ca="1" si="420">ROUND(BZ20*(1-BA20)*(1-$AK20)/8.76*(1+CY$2),1)</f>
        <v>18.399999999999999</v>
      </c>
      <c r="CZ20" s="96">
        <f t="shared" ref="CZ20:CZ22" ca="1" si="421">ROUND(CA20*(1-BB20)*(1-$AK20)/8.76*(1+CZ$2),1)</f>
        <v>19.2</v>
      </c>
      <c r="DA20" s="96">
        <f t="shared" ref="DA20:DA22" ca="1" si="422">ROUND(CB20*(1-BC20)*(1-$AK20)/8.76*(1+DA$2),1)</f>
        <v>20</v>
      </c>
      <c r="DB20" s="96">
        <f t="shared" ref="DB20:DB22" ca="1" si="423">ROUND(CC20*(1-BD20)*(1-$AK20)/8.76*(1+DB$2),1)</f>
        <v>20.9</v>
      </c>
      <c r="DC20" s="96">
        <f t="shared" ref="DC20:DC22" ca="1" si="424">ROUND(CD20*(1-BE20)*(1-$AK20)/8.76*(1+DC$2),1)</f>
        <v>21.8</v>
      </c>
      <c r="DD20" s="96">
        <f t="shared" ref="DD20:DD22" ca="1" si="425">ROUND(CE20*(1-BF20)*(1-$AK20)/8.76*(1+DD$2),1)</f>
        <v>22.7</v>
      </c>
      <c r="DE20" s="96">
        <f t="shared" ref="DE20:DE22" ca="1" si="426">ROUND(CF20*(1-BG20)*(1-$AK20)/8.76*(1+DE$2),1)</f>
        <v>23.7</v>
      </c>
      <c r="DF20" s="96">
        <f t="shared" ref="DF20:DF22" ca="1" si="427">ROUND(CG20*(1-BH20)*(1-$AK20)/8.76*(1+DF$2),1)</f>
        <v>24.7</v>
      </c>
      <c r="DG20" s="96">
        <f t="shared" ref="DG20:DG22" ca="1" si="428">ROUND(CH20*(1-BI20)*(1-$AK20)/8.76*(1+DG$2),1)</f>
        <v>25.8</v>
      </c>
      <c r="DH20" s="96">
        <f t="shared" ref="DH20:DH22" ca="1" si="429">ROUND(CI20*(1-BJ20)*(1-$AK20)/8.76*(1+DH$2),1)</f>
        <v>26.9</v>
      </c>
      <c r="DI20" s="96">
        <f t="shared" ref="DI20:DI22" ca="1" si="430">ROUND(CJ20*(1-BK20)*(1-$AK20)/8.76*(1+DI$2),1)</f>
        <v>28.1</v>
      </c>
      <c r="DJ20" s="96">
        <f t="shared" ref="DJ20:DJ22" ca="1" si="431">ROUND(CK20*(1-BL20)*(1-$AK20)/8.76*(1+DJ$2),1)</f>
        <v>29</v>
      </c>
      <c r="DK20" s="96">
        <f t="shared" ref="DK20:DK22" ca="1" si="432">ROUND(CL20*(1-BM20)*(1-$AK20)/8.76*(1+DK$2),1)</f>
        <v>43.4</v>
      </c>
      <c r="DL20" s="96">
        <f t="shared" ref="DL20:DL22" ca="1" si="433">ROUND(CM20*(1-BN20)*(1-$AK20)/8.76*(1+DL$2),1)</f>
        <v>67.7</v>
      </c>
      <c r="DM20" s="95" t="str">
        <f t="shared" ref="DM20:DM22" si="434">DN20&amp;" "&amp;DO20&amp;" "&amp;DP20&amp;" "&amp;DQ20&amp;" "&amp;DR20&amp;" "&amp;DS20&amp;" "&amp;DT20&amp;" "&amp;DU20&amp;" "&amp;DV20&amp;" "&amp;DW20&amp;" "&amp;DX20&amp;" "&amp;DY20&amp;" "&amp;DZ20&amp;" "&amp;EA20&amp;" "&amp;EB20&amp;" "&amp;EC20&amp;" "&amp;ED20&amp;" "&amp;EE20&amp;" "&amp;EF20&amp;" "&amp;EG20&amp;" "&amp;EH20&amp;" "&amp;EI20&amp;" "&amp;EJ20&amp;" "&amp;EK20&amp;" "</f>
        <v xml:space="preserve">0.98 0.98 0.98 0.98 0.98 0.98 0.98 0.98 0.98 0.98 0.98 0.981 0.982 0.983 0.984 0.985 0.986 0.987 0.988 0.989 0.99 0.99 0.99 0.99 </v>
      </c>
      <c r="DN20" s="91">
        <f>1-AQ20</f>
        <v>0.98</v>
      </c>
      <c r="DO20" s="91">
        <f t="shared" ref="DO20:ED22" si="435">1-AR20</f>
        <v>0.98</v>
      </c>
      <c r="DP20" s="91">
        <f t="shared" si="435"/>
        <v>0.98</v>
      </c>
      <c r="DQ20" s="91">
        <f t="shared" si="435"/>
        <v>0.98</v>
      </c>
      <c r="DR20" s="91">
        <f t="shared" si="435"/>
        <v>0.98</v>
      </c>
      <c r="DS20" s="91">
        <f t="shared" si="435"/>
        <v>0.98</v>
      </c>
      <c r="DT20" s="91">
        <f t="shared" si="435"/>
        <v>0.98</v>
      </c>
      <c r="DU20" s="91">
        <f t="shared" si="435"/>
        <v>0.98</v>
      </c>
      <c r="DV20" s="91">
        <f t="shared" si="435"/>
        <v>0.98</v>
      </c>
      <c r="DW20" s="91">
        <f t="shared" si="435"/>
        <v>0.98</v>
      </c>
      <c r="DX20" s="91">
        <f t="shared" si="435"/>
        <v>0.98</v>
      </c>
      <c r="DY20" s="91">
        <f t="shared" si="435"/>
        <v>0.98099999999999998</v>
      </c>
      <c r="DZ20" s="91">
        <f t="shared" si="435"/>
        <v>0.98199999999999998</v>
      </c>
      <c r="EA20" s="91">
        <f t="shared" si="435"/>
        <v>0.98299999999999998</v>
      </c>
      <c r="EB20" s="91">
        <f t="shared" si="435"/>
        <v>0.98399999999999999</v>
      </c>
      <c r="EC20" s="91">
        <f t="shared" si="435"/>
        <v>0.98499999999999999</v>
      </c>
      <c r="ED20" s="91">
        <f t="shared" si="435"/>
        <v>0.98599999999999999</v>
      </c>
      <c r="EE20" s="91">
        <f t="shared" ref="EE20:EK22" si="436">1-BH20</f>
        <v>0.98699999999999999</v>
      </c>
      <c r="EF20" s="91">
        <f t="shared" si="436"/>
        <v>0.98799999999999999</v>
      </c>
      <c r="EG20" s="91">
        <f t="shared" si="436"/>
        <v>0.98899999999999999</v>
      </c>
      <c r="EH20" s="91">
        <f t="shared" si="436"/>
        <v>0.99</v>
      </c>
      <c r="EI20" s="91">
        <f t="shared" si="436"/>
        <v>0.99</v>
      </c>
      <c r="EJ20" s="91">
        <f t="shared" si="436"/>
        <v>0.99</v>
      </c>
      <c r="EK20" s="91">
        <f t="shared" si="436"/>
        <v>0.99</v>
      </c>
    </row>
    <row r="21" spans="1:141" x14ac:dyDescent="0.25">
      <c r="A21" t="str">
        <f t="shared" si="17"/>
        <v>UrbanLES</v>
      </c>
      <c r="B21" t="str">
        <f t="shared" si="384"/>
        <v>Urban</v>
      </c>
      <c r="C21" t="str">
        <f>IFERROR(VLOOKUP(D21,PoolPlan_EnergyProj!$C$89:$D$100,2,FALSE),C20)</f>
        <v>LES</v>
      </c>
      <c r="D21" t="s">
        <v>148</v>
      </c>
      <c r="E21" s="91">
        <f>1-E20-E22</f>
        <v>0.88</v>
      </c>
      <c r="F21" s="91">
        <f>1-F20-F22</f>
        <v>0.82</v>
      </c>
      <c r="G21" s="91">
        <f t="shared" ref="G21:I21" si="437">1-G20-G22</f>
        <v>0.75</v>
      </c>
      <c r="H21" s="91">
        <f t="shared" si="437"/>
        <v>0.75</v>
      </c>
      <c r="I21" s="91">
        <f t="shared" si="437"/>
        <v>0.75</v>
      </c>
      <c r="K21" s="91">
        <f t="shared" ref="K21:K22" si="438">E21</f>
        <v>0.88</v>
      </c>
      <c r="L21" s="91">
        <f t="shared" ref="L21:O22" si="439">($P21-$K21)/($P$4-$K$4)+K21</f>
        <v>0.86799999999999999</v>
      </c>
      <c r="M21" s="91">
        <f t="shared" si="439"/>
        <v>0.85599999999999998</v>
      </c>
      <c r="N21" s="91">
        <f t="shared" si="439"/>
        <v>0.84399999999999997</v>
      </c>
      <c r="O21" s="91">
        <f t="shared" si="439"/>
        <v>0.83199999999999996</v>
      </c>
      <c r="P21" s="91">
        <f t="shared" ref="P21:P22" si="440">F21</f>
        <v>0.82</v>
      </c>
      <c r="Q21" s="91">
        <f t="shared" ref="Q21:T22" si="441">($U21-$P21)/($U$4-$P$4)+P21</f>
        <v>0.80599999999999994</v>
      </c>
      <c r="R21" s="91">
        <f t="shared" si="441"/>
        <v>0.79199999999999993</v>
      </c>
      <c r="S21" s="91">
        <f t="shared" si="441"/>
        <v>0.77799999999999991</v>
      </c>
      <c r="T21" s="91">
        <f t="shared" si="441"/>
        <v>0.7639999999999999</v>
      </c>
      <c r="U21" s="91">
        <f t="shared" ref="U21:U22" si="442">G21</f>
        <v>0.75</v>
      </c>
      <c r="V21" s="91">
        <f t="shared" ref="V21:V22" si="443">(AE21-U21)/(AE$4-U$4)+U21</f>
        <v>0.75</v>
      </c>
      <c r="W21" s="91">
        <f t="shared" ref="W21:W22" si="444">(AE21-U21)/(AE$4-U$4)+V21</f>
        <v>0.75</v>
      </c>
      <c r="X21" s="91">
        <f t="shared" ref="X21:X22" si="445">(AE21-U21)/(AE$4-U$4)+W21</f>
        <v>0.75</v>
      </c>
      <c r="Y21" s="91">
        <f t="shared" ref="Y21:Y22" si="446">(AE21-U21)/(AE$4-U$4)+X21</f>
        <v>0.75</v>
      </c>
      <c r="Z21" s="91">
        <f t="shared" ref="Z21:Z22" si="447">(AE21-U21)/(AE$4-U$4)+Y21</f>
        <v>0.75</v>
      </c>
      <c r="AA21" s="91">
        <f t="shared" ref="AA21:AA22" si="448">(AE21-U21)/(AE$4-U$4)+Z21</f>
        <v>0.75</v>
      </c>
      <c r="AB21" s="91">
        <f t="shared" ref="AB21:AB22" si="449">(AE21-U21)/(AE$4-U$4)+AA21</f>
        <v>0.75</v>
      </c>
      <c r="AC21" s="91">
        <f t="shared" ref="AC21:AC22" si="450">(AE21-U21)/(AE$4-U$4)+AB21</f>
        <v>0.75</v>
      </c>
      <c r="AD21" s="91">
        <f t="shared" ref="AD21:AD22" si="451">(AE21-U21)/(AE$4-U$4)+AC21</f>
        <v>0.75</v>
      </c>
      <c r="AE21" s="91">
        <f t="shared" ref="AE21:AE22" si="452">H21</f>
        <v>0.75</v>
      </c>
      <c r="AF21" s="91">
        <f>(AH21-AE21)/(AH$4-AE$4)+AE21</f>
        <v>0.75</v>
      </c>
      <c r="AG21" s="91">
        <f t="shared" ref="AG21:AG22" si="453">(AE21+AH21)/2</f>
        <v>0.75</v>
      </c>
      <c r="AH21" s="91">
        <f>I21</f>
        <v>0.75</v>
      </c>
      <c r="AJ21" s="91" t="s">
        <v>149</v>
      </c>
      <c r="AK21" s="91">
        <f>AK20</f>
        <v>0.05</v>
      </c>
      <c r="AL21" s="97">
        <v>0.12</v>
      </c>
      <c r="AM21" s="91">
        <v>0.1</v>
      </c>
      <c r="AN21" s="91">
        <v>0.08</v>
      </c>
      <c r="AO21" s="91">
        <f>AN21</f>
        <v>0.08</v>
      </c>
      <c r="AP21" s="95" t="str">
        <f>AQ21&amp;" "&amp;AR21&amp;" "&amp;AS21&amp;" "&amp;AT21&amp;" "&amp;AU21&amp;" "&amp;AV21&amp;" "&amp;AW21&amp;" "&amp;AX21&amp;" "&amp;AY21&amp;" "&amp;AZ21&amp;" "&amp;BA21&amp;" "&amp;BB21&amp;" "&amp;BC21&amp;" "&amp;BD21&amp;" "&amp;BE21&amp;" "&amp;BF21&amp;" "&amp;BG21&amp;" "&amp;BH21&amp;" "&amp;BI21&amp;" "&amp;BJ21&amp;" "&amp;BK21&amp;" "&amp;BL21&amp;" "&amp;BM21&amp;" "&amp;BN21&amp;" "</f>
        <v xml:space="preserve">0.12 0.118 0.116 0.114 0.112 0.11 0.108 0.106 0.104 0.102 0.1 0.098 0.096 0.094 0.092 0.09 0.088 0.086 0.084 0.082 0.08 0.08 0.08 0.08 </v>
      </c>
      <c r="AQ21" s="91">
        <f t="shared" ref="AQ21:AQ22" si="454">AL21</f>
        <v>0.12</v>
      </c>
      <c r="AR21" s="91">
        <f t="shared" ref="AR21:AR22" si="455">(BA21-AQ21)/(BA$4-AQ$4)+AQ21</f>
        <v>0.11799999999999999</v>
      </c>
      <c r="AS21" s="91">
        <f t="shared" ref="AS21:AS22" si="456">(BA21-AQ21)/(BA$4-AQ$4)+AR21</f>
        <v>0.11599999999999999</v>
      </c>
      <c r="AT21" s="91">
        <f t="shared" ref="AT21:AT22" si="457">(BA21-AQ21)/(BA$4-AQ$4)+AS21</f>
        <v>0.11399999999999999</v>
      </c>
      <c r="AU21" s="91">
        <f t="shared" ref="AU21:AU22" si="458">(BA21-AQ21)/(BA$4-AQ$4)+AT21</f>
        <v>0.11199999999999999</v>
      </c>
      <c r="AV21" s="91">
        <f t="shared" ref="AV21:AV22" si="459">(BA21-AQ21)/(BA$4-AQ$4)+AU21</f>
        <v>0.10999999999999999</v>
      </c>
      <c r="AW21" s="91">
        <f t="shared" ref="AW21:AW22" si="460">(BA21-AQ21)/(BA$4-AQ$4)+AV21</f>
        <v>0.10799999999999998</v>
      </c>
      <c r="AX21" s="91">
        <f t="shared" ref="AX21:AX22" si="461">(BA21-AQ21)/(BA$4-AQ$4)+AW21</f>
        <v>0.10599999999999998</v>
      </c>
      <c r="AY21" s="91">
        <f t="shared" ref="AY21:AY22" si="462">(BA21-AQ21)/(BA$4-AQ$4)+AX21</f>
        <v>0.10399999999999998</v>
      </c>
      <c r="AZ21" s="91">
        <f t="shared" ref="AZ21:AZ22" si="463">(BA21-AQ21)/(BA$4-AQ$4)+AY21</f>
        <v>0.10199999999999998</v>
      </c>
      <c r="BA21" s="91">
        <f t="shared" ref="BA21:BA22" si="464">AM21</f>
        <v>0.1</v>
      </c>
      <c r="BB21" s="91">
        <f t="shared" ref="BB21:BB22" si="465">(BK21-BA21)/(BK$4-BA$4)+BA21</f>
        <v>9.8000000000000004E-2</v>
      </c>
      <c r="BC21" s="91">
        <f t="shared" ref="BC21:BC22" si="466">(BK21-BA21)/(BK$4-BA$4)+BB21</f>
        <v>9.6000000000000002E-2</v>
      </c>
      <c r="BD21" s="91">
        <f t="shared" ref="BD21:BD22" si="467">(BK21-BA21)/(BK$4-BA$4)+BC21</f>
        <v>9.4E-2</v>
      </c>
      <c r="BE21" s="91">
        <f t="shared" ref="BE21:BE22" si="468">(BK21-BA21)/(BK$4-BA$4)+BD21</f>
        <v>9.1999999999999998E-2</v>
      </c>
      <c r="BF21" s="91">
        <f t="shared" ref="BF21:BF22" si="469">(BK21-BA21)/(BK$4-BA$4)+BE21</f>
        <v>0.09</v>
      </c>
      <c r="BG21" s="91">
        <f t="shared" ref="BG21:BG22" si="470">(BK21-BA21)/(BK$4-BA$4)+BF21</f>
        <v>8.7999999999999995E-2</v>
      </c>
      <c r="BH21" s="91">
        <f t="shared" ref="BH21:BH22" si="471">(BK21-BA21)/(BK$4-BA$4)+BG21</f>
        <v>8.5999999999999993E-2</v>
      </c>
      <c r="BI21" s="91">
        <f t="shared" ref="BI21:BI22" si="472">(BK21-BA21)/(BK$4-BA$4)+BH21</f>
        <v>8.3999999999999991E-2</v>
      </c>
      <c r="BJ21" s="91">
        <f t="shared" ref="BJ21:BJ22" si="473">(BK21-BA21)/(BK$4-BA$4)+BI21</f>
        <v>8.199999999999999E-2</v>
      </c>
      <c r="BK21" s="91">
        <f t="shared" ref="BK21:BK22" si="474">AN21</f>
        <v>0.08</v>
      </c>
      <c r="BL21" s="91">
        <f>(BN21-BK21)/(BN$4-BK$4)+BK21</f>
        <v>0.08</v>
      </c>
      <c r="BM21" s="91">
        <f t="shared" ref="BM21:BM22" si="475">(BK21+BN21)/2</f>
        <v>0.08</v>
      </c>
      <c r="BN21" s="91">
        <f>AO21</f>
        <v>0.08</v>
      </c>
      <c r="BP21" s="17">
        <f ca="1">K21*K23</f>
        <v>506.88</v>
      </c>
      <c r="BQ21" s="17">
        <f t="shared" ref="BQ21" ca="1" si="476">L21*L23</f>
        <v>520.79999999999995</v>
      </c>
      <c r="BR21" s="17">
        <f t="shared" ref="BR21" ca="1" si="477">M21*M23</f>
        <v>535</v>
      </c>
      <c r="BS21" s="17">
        <f t="shared" ref="BS21" ca="1" si="478">N21*N23</f>
        <v>549.44399999999996</v>
      </c>
      <c r="BT21" s="17">
        <f t="shared" ref="BT21" ca="1" si="479">O21*O23</f>
        <v>564.096</v>
      </c>
      <c r="BU21" s="17">
        <f t="shared" ref="BU21" ca="1" si="480">P21*P23</f>
        <v>578.91999999999996</v>
      </c>
      <c r="BV21" s="17">
        <f t="shared" ref="BV21" ca="1" si="481">Q21*Q23</f>
        <v>593.21600000000001</v>
      </c>
      <c r="BW21" s="17">
        <f t="shared" ref="BW21" ca="1" si="482">R21*R23</f>
        <v>607.46399999999994</v>
      </c>
      <c r="BX21" s="17">
        <f t="shared" ref="BX21" ca="1" si="483">S21*S23</f>
        <v>620.84399999999994</v>
      </c>
      <c r="BY21" s="17">
        <f t="shared" ref="BY21" ca="1" si="484">T21*T23</f>
        <v>635.64799999999991</v>
      </c>
      <c r="BZ21" s="17">
        <f t="shared" ref="BZ21" ca="1" si="485">U21*U23</f>
        <v>649.5</v>
      </c>
      <c r="CA21" s="17">
        <f t="shared" ref="CA21" ca="1" si="486">V21*V23</f>
        <v>676.5</v>
      </c>
      <c r="CB21" s="17">
        <f t="shared" ref="CB21" ca="1" si="487">W21*W23</f>
        <v>705</v>
      </c>
      <c r="CC21" s="17">
        <f t="shared" ref="CC21" ca="1" si="488">X21*X23</f>
        <v>734.25</v>
      </c>
      <c r="CD21" s="17">
        <f t="shared" ref="CD21" ca="1" si="489">Y21*Y23</f>
        <v>765</v>
      </c>
      <c r="CE21" s="17">
        <f t="shared" ref="CE21" ca="1" si="490">Z21*Z23</f>
        <v>797.25</v>
      </c>
      <c r="CF21" s="17">
        <f t="shared" ref="CF21" ca="1" si="491">AA21*AA23</f>
        <v>829.98569750746401</v>
      </c>
      <c r="CG21" s="17">
        <f t="shared" ref="CG21" ca="1" si="492">AB21*AB23</f>
        <v>865.83139102844916</v>
      </c>
      <c r="CH21" s="17">
        <f t="shared" ref="CH21" ca="1" si="493">AC21*AC23</f>
        <v>903.22520007462845</v>
      </c>
      <c r="CI21" s="17">
        <f t="shared" ref="CI21" ca="1" si="494">AD21*AD23</f>
        <v>942.01837500849638</v>
      </c>
      <c r="CJ21" s="17">
        <f t="shared" ref="CJ21" ca="1" si="495">AE21*AE23</f>
        <v>981.65128190575751</v>
      </c>
      <c r="CK21" s="17">
        <f t="shared" ref="CK21" ca="1" si="496">AF21*AF23</f>
        <v>1013.2819226561843</v>
      </c>
      <c r="CL21" s="17">
        <f t="shared" ref="CL21" ca="1" si="497">AG21*AG23</f>
        <v>1517.1063704035523</v>
      </c>
      <c r="CM21" s="17">
        <f t="shared" ref="CM21" ca="1" si="498">AH21*AH23</f>
        <v>2366.1531957909961</v>
      </c>
      <c r="CN21" s="95" t="str">
        <f t="shared" ca="1" si="410"/>
        <v xml:space="preserve">48.4 49.8 51.3 52.8 54.3 55.9 57.4 58.9 60.3 61.9 63.4 66.2 69.1 72.1 75.3 78.7 82.1 85.8 89.7 93.8 97.9 101.1 151.4 236.1 </v>
      </c>
      <c r="CO21" s="96">
        <f ca="1">ROUND(BP21*(1-AQ21)*(1-$AK21)/8.76*(1+CO$2),1)</f>
        <v>48.4</v>
      </c>
      <c r="CP21" s="96">
        <f t="shared" ca="1" si="411"/>
        <v>49.8</v>
      </c>
      <c r="CQ21" s="96">
        <f t="shared" ca="1" si="412"/>
        <v>51.3</v>
      </c>
      <c r="CR21" s="96">
        <f t="shared" ca="1" si="413"/>
        <v>52.8</v>
      </c>
      <c r="CS21" s="96">
        <f t="shared" ca="1" si="414"/>
        <v>54.3</v>
      </c>
      <c r="CT21" s="96">
        <f t="shared" ca="1" si="415"/>
        <v>55.9</v>
      </c>
      <c r="CU21" s="96">
        <f t="shared" ca="1" si="416"/>
        <v>57.4</v>
      </c>
      <c r="CV21" s="96">
        <f t="shared" ca="1" si="417"/>
        <v>58.9</v>
      </c>
      <c r="CW21" s="96">
        <f t="shared" ca="1" si="418"/>
        <v>60.3</v>
      </c>
      <c r="CX21" s="96">
        <f t="shared" ca="1" si="419"/>
        <v>61.9</v>
      </c>
      <c r="CY21" s="96">
        <f t="shared" ca="1" si="420"/>
        <v>63.4</v>
      </c>
      <c r="CZ21" s="96">
        <f t="shared" ca="1" si="421"/>
        <v>66.2</v>
      </c>
      <c r="DA21" s="96">
        <f t="shared" ca="1" si="422"/>
        <v>69.099999999999994</v>
      </c>
      <c r="DB21" s="96">
        <f t="shared" ca="1" si="423"/>
        <v>72.099999999999994</v>
      </c>
      <c r="DC21" s="96">
        <f t="shared" ca="1" si="424"/>
        <v>75.3</v>
      </c>
      <c r="DD21" s="96">
        <f t="shared" ca="1" si="425"/>
        <v>78.7</v>
      </c>
      <c r="DE21" s="96">
        <f t="shared" ca="1" si="426"/>
        <v>82.1</v>
      </c>
      <c r="DF21" s="96">
        <f t="shared" ca="1" si="427"/>
        <v>85.8</v>
      </c>
      <c r="DG21" s="96">
        <f t="shared" ca="1" si="428"/>
        <v>89.7</v>
      </c>
      <c r="DH21" s="96">
        <f t="shared" ca="1" si="429"/>
        <v>93.8</v>
      </c>
      <c r="DI21" s="96">
        <f t="shared" ca="1" si="430"/>
        <v>97.9</v>
      </c>
      <c r="DJ21" s="96">
        <f t="shared" ca="1" si="431"/>
        <v>101.1</v>
      </c>
      <c r="DK21" s="96">
        <f t="shared" ca="1" si="432"/>
        <v>151.4</v>
      </c>
      <c r="DL21" s="96">
        <f t="shared" ca="1" si="433"/>
        <v>236.1</v>
      </c>
      <c r="DM21" s="95" t="str">
        <f t="shared" si="434"/>
        <v xml:space="preserve">0.88 0.882 0.884 0.886 0.888 0.89 0.892 0.894 0.896 0.898 0.9 0.902 0.904 0.906 0.908 0.91 0.912 0.914 0.916 0.918 0.92 0.92 0.92 0.92 </v>
      </c>
      <c r="DN21" s="91">
        <f t="shared" ref="DN21:DN22" si="499">1-AQ21</f>
        <v>0.88</v>
      </c>
      <c r="DO21" s="91">
        <f t="shared" si="435"/>
        <v>0.88200000000000001</v>
      </c>
      <c r="DP21" s="91">
        <f t="shared" si="435"/>
        <v>0.88400000000000001</v>
      </c>
      <c r="DQ21" s="91">
        <f t="shared" si="435"/>
        <v>0.88600000000000001</v>
      </c>
      <c r="DR21" s="91">
        <f t="shared" si="435"/>
        <v>0.88800000000000001</v>
      </c>
      <c r="DS21" s="91">
        <f t="shared" si="435"/>
        <v>0.89</v>
      </c>
      <c r="DT21" s="91">
        <f t="shared" si="435"/>
        <v>0.89200000000000002</v>
      </c>
      <c r="DU21" s="91">
        <f t="shared" si="435"/>
        <v>0.89400000000000002</v>
      </c>
      <c r="DV21" s="91">
        <f t="shared" si="435"/>
        <v>0.89600000000000002</v>
      </c>
      <c r="DW21" s="91">
        <f t="shared" si="435"/>
        <v>0.89800000000000002</v>
      </c>
      <c r="DX21" s="91">
        <f t="shared" si="435"/>
        <v>0.9</v>
      </c>
      <c r="DY21" s="91">
        <f t="shared" si="435"/>
        <v>0.90200000000000002</v>
      </c>
      <c r="DZ21" s="91">
        <f t="shared" si="435"/>
        <v>0.90400000000000003</v>
      </c>
      <c r="EA21" s="91">
        <f t="shared" si="435"/>
        <v>0.90600000000000003</v>
      </c>
      <c r="EB21" s="91">
        <f t="shared" si="435"/>
        <v>0.90800000000000003</v>
      </c>
      <c r="EC21" s="91">
        <f t="shared" si="435"/>
        <v>0.91</v>
      </c>
      <c r="ED21" s="91">
        <f t="shared" si="435"/>
        <v>0.91200000000000003</v>
      </c>
      <c r="EE21" s="91">
        <f t="shared" si="436"/>
        <v>0.91400000000000003</v>
      </c>
      <c r="EF21" s="91">
        <f t="shared" si="436"/>
        <v>0.91600000000000004</v>
      </c>
      <c r="EG21" s="91">
        <f t="shared" si="436"/>
        <v>0.91800000000000004</v>
      </c>
      <c r="EH21" s="91">
        <f t="shared" si="436"/>
        <v>0.92</v>
      </c>
      <c r="EI21" s="91">
        <f t="shared" si="436"/>
        <v>0.92</v>
      </c>
      <c r="EJ21" s="91">
        <f t="shared" si="436"/>
        <v>0.92</v>
      </c>
      <c r="EK21" s="91">
        <f t="shared" si="436"/>
        <v>0.92</v>
      </c>
    </row>
    <row r="22" spans="1:141" x14ac:dyDescent="0.25">
      <c r="A22" t="str">
        <f t="shared" si="17"/>
        <v>RuralLES</v>
      </c>
      <c r="B22" t="str">
        <f t="shared" si="384"/>
        <v>Rural</v>
      </c>
      <c r="C22" t="str">
        <f>IFERROR(VLOOKUP(D22,PoolPlan_EnergyProj!$C$89:$D$100,2,FALSE),C21)</f>
        <v>LES</v>
      </c>
      <c r="D22" t="s">
        <v>150</v>
      </c>
      <c r="E22" s="91">
        <v>0.02</v>
      </c>
      <c r="F22" s="91">
        <v>0.03</v>
      </c>
      <c r="G22" s="91">
        <v>0.05</v>
      </c>
      <c r="H22" s="91">
        <v>0.05</v>
      </c>
      <c r="I22" s="91">
        <v>0.05</v>
      </c>
      <c r="K22" s="91">
        <f t="shared" si="438"/>
        <v>0.02</v>
      </c>
      <c r="L22" s="91">
        <f t="shared" si="439"/>
        <v>2.1999999999999999E-2</v>
      </c>
      <c r="M22" s="91">
        <f t="shared" si="439"/>
        <v>2.3999999999999997E-2</v>
      </c>
      <c r="N22" s="91">
        <f t="shared" si="439"/>
        <v>2.5999999999999995E-2</v>
      </c>
      <c r="O22" s="91">
        <f t="shared" si="439"/>
        <v>2.7999999999999994E-2</v>
      </c>
      <c r="P22" s="91">
        <f t="shared" si="440"/>
        <v>0.03</v>
      </c>
      <c r="Q22" s="91">
        <f t="shared" si="441"/>
        <v>3.4000000000000002E-2</v>
      </c>
      <c r="R22" s="91">
        <f t="shared" si="441"/>
        <v>3.8000000000000006E-2</v>
      </c>
      <c r="S22" s="91">
        <f t="shared" si="441"/>
        <v>4.200000000000001E-2</v>
      </c>
      <c r="T22" s="91">
        <f t="shared" si="441"/>
        <v>4.6000000000000013E-2</v>
      </c>
      <c r="U22" s="91">
        <f t="shared" si="442"/>
        <v>0.05</v>
      </c>
      <c r="V22" s="91">
        <f t="shared" si="443"/>
        <v>0.05</v>
      </c>
      <c r="W22" s="91">
        <f t="shared" si="444"/>
        <v>0.05</v>
      </c>
      <c r="X22" s="91">
        <f t="shared" si="445"/>
        <v>0.05</v>
      </c>
      <c r="Y22" s="91">
        <f t="shared" si="446"/>
        <v>0.05</v>
      </c>
      <c r="Z22" s="91">
        <f t="shared" si="447"/>
        <v>0.05</v>
      </c>
      <c r="AA22" s="91">
        <f t="shared" si="448"/>
        <v>0.05</v>
      </c>
      <c r="AB22" s="91">
        <f t="shared" si="449"/>
        <v>0.05</v>
      </c>
      <c r="AC22" s="91">
        <f t="shared" si="450"/>
        <v>0.05</v>
      </c>
      <c r="AD22" s="91">
        <f t="shared" si="451"/>
        <v>0.05</v>
      </c>
      <c r="AE22" s="91">
        <f t="shared" si="452"/>
        <v>0.05</v>
      </c>
      <c r="AF22" s="91">
        <f>(AH22-AE22)/(AH$4-AE$4)+AE22</f>
        <v>0.05</v>
      </c>
      <c r="AG22" s="91">
        <f t="shared" si="453"/>
        <v>0.05</v>
      </c>
      <c r="AH22" s="91">
        <f>I22</f>
        <v>0.05</v>
      </c>
      <c r="AJ22" s="98">
        <f>1-((1-AL22)*K22+(1-AL21)*K21+(1-AL20)*K20)*(1-AK20)</f>
        <v>0.15697000000000005</v>
      </c>
      <c r="AK22" s="91">
        <f>AK21</f>
        <v>0.05</v>
      </c>
      <c r="AL22" s="91">
        <v>0.25</v>
      </c>
      <c r="AM22" s="91">
        <v>0.2</v>
      </c>
      <c r="AN22" s="91">
        <v>0.2</v>
      </c>
      <c r="AO22" s="91">
        <f>AN22</f>
        <v>0.2</v>
      </c>
      <c r="AP22" s="95" t="str">
        <f>AQ22&amp;" "&amp;AR22&amp;" "&amp;AS22&amp;" "&amp;AT22&amp;" "&amp;AU22&amp;" "&amp;AV22&amp;" "&amp;AW22&amp;" "&amp;AX22&amp;" "&amp;AY22&amp;" "&amp;AZ22&amp;" "&amp;BA22&amp;" "&amp;BB22&amp;" "&amp;BC22&amp;" "&amp;BD22&amp;" "&amp;BE22&amp;" "&amp;BF22&amp;" "&amp;BG22&amp;" "&amp;BH22&amp;" "&amp;BI22&amp;" "&amp;BJ22&amp;" "&amp;BK22&amp;" "&amp;BL22&amp;" "&amp;BM22&amp;" "&amp;BN22&amp;" "</f>
        <v xml:space="preserve">0.25 0.245 0.24 0.235 0.23 0.225 0.22 0.215 0.21 0.205 0.2 0.2 0.2 0.2 0.2 0.2 0.2 0.2 0.2 0.2 0.2 0.2 0.2 0.2 </v>
      </c>
      <c r="AQ22" s="91">
        <f t="shared" si="454"/>
        <v>0.25</v>
      </c>
      <c r="AR22" s="91">
        <f t="shared" si="455"/>
        <v>0.245</v>
      </c>
      <c r="AS22" s="91">
        <f t="shared" si="456"/>
        <v>0.24</v>
      </c>
      <c r="AT22" s="91">
        <f t="shared" si="457"/>
        <v>0.23499999999999999</v>
      </c>
      <c r="AU22" s="91">
        <f t="shared" si="458"/>
        <v>0.22999999999999998</v>
      </c>
      <c r="AV22" s="91">
        <f t="shared" si="459"/>
        <v>0.22499999999999998</v>
      </c>
      <c r="AW22" s="91">
        <f t="shared" si="460"/>
        <v>0.21999999999999997</v>
      </c>
      <c r="AX22" s="91">
        <f t="shared" si="461"/>
        <v>0.21499999999999997</v>
      </c>
      <c r="AY22" s="91">
        <f t="shared" si="462"/>
        <v>0.20999999999999996</v>
      </c>
      <c r="AZ22" s="91">
        <f t="shared" si="463"/>
        <v>0.20499999999999996</v>
      </c>
      <c r="BA22" s="91">
        <f t="shared" si="464"/>
        <v>0.2</v>
      </c>
      <c r="BB22" s="91">
        <f t="shared" si="465"/>
        <v>0.2</v>
      </c>
      <c r="BC22" s="91">
        <f t="shared" si="466"/>
        <v>0.2</v>
      </c>
      <c r="BD22" s="91">
        <f t="shared" si="467"/>
        <v>0.2</v>
      </c>
      <c r="BE22" s="91">
        <f t="shared" si="468"/>
        <v>0.2</v>
      </c>
      <c r="BF22" s="91">
        <f t="shared" si="469"/>
        <v>0.2</v>
      </c>
      <c r="BG22" s="91">
        <f t="shared" si="470"/>
        <v>0.2</v>
      </c>
      <c r="BH22" s="91">
        <f t="shared" si="471"/>
        <v>0.2</v>
      </c>
      <c r="BI22" s="91">
        <f t="shared" si="472"/>
        <v>0.2</v>
      </c>
      <c r="BJ22" s="91">
        <f t="shared" si="473"/>
        <v>0.2</v>
      </c>
      <c r="BK22" s="91">
        <f t="shared" si="474"/>
        <v>0.2</v>
      </c>
      <c r="BL22" s="91">
        <f>(BN22-BK22)/(BN$4-BK$4)+BK22</f>
        <v>0.2</v>
      </c>
      <c r="BM22" s="91">
        <f t="shared" si="475"/>
        <v>0.2</v>
      </c>
      <c r="BN22" s="91">
        <f>AO22</f>
        <v>0.2</v>
      </c>
      <c r="BP22" s="17">
        <f ca="1">K22*K23</f>
        <v>11.52</v>
      </c>
      <c r="BQ22" s="17">
        <f t="shared" ref="BQ22" ca="1" si="500">L22*L23</f>
        <v>13.2</v>
      </c>
      <c r="BR22" s="17">
        <f t="shared" ref="BR22" ca="1" si="501">M22*M23</f>
        <v>14.999999999999998</v>
      </c>
      <c r="BS22" s="17">
        <f t="shared" ref="BS22" ca="1" si="502">N22*N23</f>
        <v>16.925999999999998</v>
      </c>
      <c r="BT22" s="17">
        <f t="shared" ref="BT22" ca="1" si="503">O22*O23</f>
        <v>18.983999999999995</v>
      </c>
      <c r="BU22" s="17">
        <f t="shared" ref="BU22" ca="1" si="504">P22*P23</f>
        <v>21.18</v>
      </c>
      <c r="BV22" s="17">
        <f t="shared" ref="BV22" ca="1" si="505">Q22*Q23</f>
        <v>25.024000000000001</v>
      </c>
      <c r="BW22" s="17">
        <f t="shared" ref="BW22" ca="1" si="506">R22*R23</f>
        <v>29.146000000000004</v>
      </c>
      <c r="BX22" s="17">
        <f t="shared" ref="BX22" ca="1" si="507">S22*S23</f>
        <v>33.516000000000005</v>
      </c>
      <c r="BY22" s="17">
        <f t="shared" ref="BY22" ca="1" si="508">T22*T23</f>
        <v>38.272000000000013</v>
      </c>
      <c r="BZ22" s="17">
        <f t="shared" ref="BZ22" ca="1" si="509">U22*U23</f>
        <v>43.300000000000004</v>
      </c>
      <c r="CA22" s="17">
        <f t="shared" ref="CA22" ca="1" si="510">V22*V23</f>
        <v>45.1</v>
      </c>
      <c r="CB22" s="17">
        <f t="shared" ref="CB22" ca="1" si="511">W22*W23</f>
        <v>47</v>
      </c>
      <c r="CC22" s="17">
        <f t="shared" ref="CC22" ca="1" si="512">X22*X23</f>
        <v>48.95</v>
      </c>
      <c r="CD22" s="17">
        <f t="shared" ref="CD22" ca="1" si="513">Y22*Y23</f>
        <v>51</v>
      </c>
      <c r="CE22" s="17">
        <f t="shared" ref="CE22" ca="1" si="514">Z22*Z23</f>
        <v>53.150000000000006</v>
      </c>
      <c r="CF22" s="17">
        <f t="shared" ref="CF22" ca="1" si="515">AA22*AA23</f>
        <v>55.332379833830935</v>
      </c>
      <c r="CG22" s="17">
        <f t="shared" ref="CG22" ca="1" si="516">AB22*AB23</f>
        <v>57.72209273522995</v>
      </c>
      <c r="CH22" s="17">
        <f t="shared" ref="CH22" ca="1" si="517">AC22*AC23</f>
        <v>60.215013338308566</v>
      </c>
      <c r="CI22" s="17">
        <f t="shared" ref="CI22" ca="1" si="518">AD22*AD23</f>
        <v>62.801225000566426</v>
      </c>
      <c r="CJ22" s="17">
        <f t="shared" ref="CJ22" ca="1" si="519">AE22*AE23</f>
        <v>65.443418793717171</v>
      </c>
      <c r="CK22" s="17">
        <f t="shared" ref="CK22" ca="1" si="520">AF22*AF23</f>
        <v>67.552128177078956</v>
      </c>
      <c r="CL22" s="17">
        <f t="shared" ref="CL22" ca="1" si="521">AG22*AG23</f>
        <v>101.14042469357015</v>
      </c>
      <c r="CM22" s="17">
        <f t="shared" ref="CM22" ca="1" si="522">AH22*AH23</f>
        <v>157.74354638606641</v>
      </c>
      <c r="CN22" s="95" t="str">
        <f t="shared" ca="1" si="410"/>
        <v xml:space="preserve">0.9 1.1 1.2 1.4 1.6 1.8 2.1 2.5 2.9 3.3 3.8 3.9 4.1 4.2 4.4 4.6 4.8 5 5.2 5.4 5.7 5.9 8.8 13.7 </v>
      </c>
      <c r="CO22" s="96">
        <f ca="1">ROUND(BP22*(1-AQ22)*(1-$AK22)/8.76*(1+CO$2),1)</f>
        <v>0.9</v>
      </c>
      <c r="CP22" s="96">
        <f t="shared" ca="1" si="411"/>
        <v>1.1000000000000001</v>
      </c>
      <c r="CQ22" s="96">
        <f t="shared" ca="1" si="412"/>
        <v>1.2</v>
      </c>
      <c r="CR22" s="96">
        <f t="shared" ca="1" si="413"/>
        <v>1.4</v>
      </c>
      <c r="CS22" s="96">
        <f t="shared" ca="1" si="414"/>
        <v>1.6</v>
      </c>
      <c r="CT22" s="96">
        <f t="shared" ca="1" si="415"/>
        <v>1.8</v>
      </c>
      <c r="CU22" s="96">
        <f t="shared" ca="1" si="416"/>
        <v>2.1</v>
      </c>
      <c r="CV22" s="96">
        <f t="shared" ca="1" si="417"/>
        <v>2.5</v>
      </c>
      <c r="CW22" s="96">
        <f t="shared" ca="1" si="418"/>
        <v>2.9</v>
      </c>
      <c r="CX22" s="96">
        <f t="shared" ca="1" si="419"/>
        <v>3.3</v>
      </c>
      <c r="CY22" s="96">
        <f t="shared" ca="1" si="420"/>
        <v>3.8</v>
      </c>
      <c r="CZ22" s="96">
        <f t="shared" ca="1" si="421"/>
        <v>3.9</v>
      </c>
      <c r="DA22" s="96">
        <f t="shared" ca="1" si="422"/>
        <v>4.0999999999999996</v>
      </c>
      <c r="DB22" s="96">
        <f t="shared" ca="1" si="423"/>
        <v>4.2</v>
      </c>
      <c r="DC22" s="96">
        <f t="shared" ca="1" si="424"/>
        <v>4.4000000000000004</v>
      </c>
      <c r="DD22" s="96">
        <f t="shared" ca="1" si="425"/>
        <v>4.5999999999999996</v>
      </c>
      <c r="DE22" s="96">
        <f t="shared" ca="1" si="426"/>
        <v>4.8</v>
      </c>
      <c r="DF22" s="96">
        <f t="shared" ca="1" si="427"/>
        <v>5</v>
      </c>
      <c r="DG22" s="96">
        <f t="shared" ca="1" si="428"/>
        <v>5.2</v>
      </c>
      <c r="DH22" s="96">
        <f t="shared" ca="1" si="429"/>
        <v>5.4</v>
      </c>
      <c r="DI22" s="96">
        <f t="shared" ca="1" si="430"/>
        <v>5.7</v>
      </c>
      <c r="DJ22" s="96">
        <f t="shared" ca="1" si="431"/>
        <v>5.9</v>
      </c>
      <c r="DK22" s="96">
        <f t="shared" ca="1" si="432"/>
        <v>8.8000000000000007</v>
      </c>
      <c r="DL22" s="96">
        <f t="shared" ca="1" si="433"/>
        <v>13.7</v>
      </c>
      <c r="DM22" s="95" t="str">
        <f t="shared" si="434"/>
        <v xml:space="preserve">0.75 0.755 0.76 0.765 0.77 0.775 0.78 0.785 0.79 0.795 0.8 0.8 0.8 0.8 0.8 0.8 0.8 0.8 0.8 0.8 0.8 0.8 0.8 0.8 </v>
      </c>
      <c r="DN22" s="91">
        <f t="shared" si="499"/>
        <v>0.75</v>
      </c>
      <c r="DO22" s="91">
        <f t="shared" si="435"/>
        <v>0.755</v>
      </c>
      <c r="DP22" s="91">
        <f t="shared" si="435"/>
        <v>0.76</v>
      </c>
      <c r="DQ22" s="91">
        <f t="shared" si="435"/>
        <v>0.76500000000000001</v>
      </c>
      <c r="DR22" s="91">
        <f t="shared" si="435"/>
        <v>0.77</v>
      </c>
      <c r="DS22" s="91">
        <f t="shared" si="435"/>
        <v>0.77500000000000002</v>
      </c>
      <c r="DT22" s="91">
        <f t="shared" si="435"/>
        <v>0.78</v>
      </c>
      <c r="DU22" s="91">
        <f t="shared" si="435"/>
        <v>0.78500000000000003</v>
      </c>
      <c r="DV22" s="91">
        <f t="shared" si="435"/>
        <v>0.79</v>
      </c>
      <c r="DW22" s="91">
        <f t="shared" si="435"/>
        <v>0.79500000000000004</v>
      </c>
      <c r="DX22" s="91">
        <f t="shared" si="435"/>
        <v>0.8</v>
      </c>
      <c r="DY22" s="91">
        <f t="shared" si="435"/>
        <v>0.8</v>
      </c>
      <c r="DZ22" s="91">
        <f t="shared" si="435"/>
        <v>0.8</v>
      </c>
      <c r="EA22" s="91">
        <f t="shared" si="435"/>
        <v>0.8</v>
      </c>
      <c r="EB22" s="91">
        <f t="shared" si="435"/>
        <v>0.8</v>
      </c>
      <c r="EC22" s="91">
        <f t="shared" si="435"/>
        <v>0.8</v>
      </c>
      <c r="ED22" s="91">
        <f t="shared" si="435"/>
        <v>0.8</v>
      </c>
      <c r="EE22" s="91">
        <f t="shared" si="436"/>
        <v>0.8</v>
      </c>
      <c r="EF22" s="91">
        <f t="shared" si="436"/>
        <v>0.8</v>
      </c>
      <c r="EG22" s="91">
        <f t="shared" si="436"/>
        <v>0.8</v>
      </c>
      <c r="EH22" s="91">
        <f t="shared" si="436"/>
        <v>0.8</v>
      </c>
      <c r="EI22" s="91">
        <f t="shared" si="436"/>
        <v>0.8</v>
      </c>
      <c r="EJ22" s="91">
        <f t="shared" si="436"/>
        <v>0.8</v>
      </c>
      <c r="EK22" s="91">
        <f t="shared" si="436"/>
        <v>0.8</v>
      </c>
    </row>
    <row r="23" spans="1:141" x14ac:dyDescent="0.25">
      <c r="A23" t="str">
        <f t="shared" si="17"/>
        <v>LES</v>
      </c>
      <c r="C23" t="str">
        <f>IFERROR(VLOOKUP(D23,PoolPlan_EnergyProj!$C$89:$D$100,2,FALSE),C22)</f>
        <v>LES</v>
      </c>
      <c r="D23" t="s">
        <v>151</v>
      </c>
      <c r="K23" s="17">
        <f ca="1">OFFSET(PoolPlan_EnergyProj!$B$6,MATCH(K19,PoolPlan_EnergyProj!$B$7:$B$30),MATCH($C23,PoolPlan_EnergyProj!$C$1:$N$1,0))</f>
        <v>576</v>
      </c>
      <c r="L23" s="17">
        <f ca="1">OFFSET(PoolPlan_EnergyProj!$B$6,MATCH(L19,PoolPlan_EnergyProj!$B$7:$B$30),MATCH($C23,PoolPlan_EnergyProj!$C$1:$N$1,0))</f>
        <v>600</v>
      </c>
      <c r="M23" s="17">
        <f ca="1">OFFSET(PoolPlan_EnergyProj!$B$6,MATCH(M19,PoolPlan_EnergyProj!$B$7:$B$30),MATCH($C23,PoolPlan_EnergyProj!$C$1:$N$1,0))</f>
        <v>625</v>
      </c>
      <c r="N23" s="17">
        <f ca="1">OFFSET(PoolPlan_EnergyProj!$B$6,MATCH(N19,PoolPlan_EnergyProj!$B$7:$B$30),MATCH($C23,PoolPlan_EnergyProj!$C$1:$N$1,0))</f>
        <v>651</v>
      </c>
      <c r="O23" s="17">
        <f ca="1">OFFSET(PoolPlan_EnergyProj!$B$6,MATCH(O19,PoolPlan_EnergyProj!$B$7:$B$30),MATCH($C23,PoolPlan_EnergyProj!$C$1:$N$1,0))</f>
        <v>678</v>
      </c>
      <c r="P23" s="17">
        <f ca="1">OFFSET(PoolPlan_EnergyProj!$B$6,MATCH(P19,PoolPlan_EnergyProj!$B$7:$B$30),MATCH($C23,PoolPlan_EnergyProj!$C$1:$N$1,0))</f>
        <v>706</v>
      </c>
      <c r="Q23" s="17">
        <f ca="1">OFFSET(PoolPlan_EnergyProj!$B$6,MATCH(Q19,PoolPlan_EnergyProj!$B$7:$B$30),MATCH($C23,PoolPlan_EnergyProj!$C$1:$N$1,0))</f>
        <v>736</v>
      </c>
      <c r="R23" s="17">
        <f ca="1">OFFSET(PoolPlan_EnergyProj!$B$6,MATCH(R19,PoolPlan_EnergyProj!$B$7:$B$30),MATCH($C23,PoolPlan_EnergyProj!$C$1:$N$1,0))</f>
        <v>767</v>
      </c>
      <c r="S23" s="17">
        <f ca="1">OFFSET(PoolPlan_EnergyProj!$B$6,MATCH(S19,PoolPlan_EnergyProj!$B$7:$B$30),MATCH($C23,PoolPlan_EnergyProj!$C$1:$N$1,0))</f>
        <v>798</v>
      </c>
      <c r="T23" s="17">
        <f ca="1">OFFSET(PoolPlan_EnergyProj!$B$6,MATCH(T19,PoolPlan_EnergyProj!$B$7:$B$30),MATCH($C23,PoolPlan_EnergyProj!$C$1:$N$1,0))</f>
        <v>832</v>
      </c>
      <c r="U23" s="17">
        <f ca="1">OFFSET(PoolPlan_EnergyProj!$B$6,MATCH(U19,PoolPlan_EnergyProj!$B$7:$B$30),MATCH($C23,PoolPlan_EnergyProj!$C$1:$N$1,0))</f>
        <v>866</v>
      </c>
      <c r="V23" s="17">
        <f ca="1">OFFSET(PoolPlan_EnergyProj!$B$6,MATCH(V19,PoolPlan_EnergyProj!$B$7:$B$30),MATCH($C23,PoolPlan_EnergyProj!$C$1:$N$1,0))</f>
        <v>902</v>
      </c>
      <c r="W23" s="17">
        <f ca="1">OFFSET(PoolPlan_EnergyProj!$B$6,MATCH(W19,PoolPlan_EnergyProj!$B$7:$B$30),MATCH($C23,PoolPlan_EnergyProj!$C$1:$N$1,0))</f>
        <v>940</v>
      </c>
      <c r="X23" s="17">
        <f ca="1">OFFSET(PoolPlan_EnergyProj!$B$6,MATCH(X19,PoolPlan_EnergyProj!$B$7:$B$30),MATCH($C23,PoolPlan_EnergyProj!$C$1:$N$1,0))</f>
        <v>979</v>
      </c>
      <c r="Y23" s="17">
        <f ca="1">OFFSET(PoolPlan_EnergyProj!$B$6,MATCH(Y19,PoolPlan_EnergyProj!$B$7:$B$30),MATCH($C23,PoolPlan_EnergyProj!$C$1:$N$1,0))</f>
        <v>1020</v>
      </c>
      <c r="Z23" s="17">
        <f ca="1">OFFSET(PoolPlan_EnergyProj!$B$6,MATCH(Z19,PoolPlan_EnergyProj!$B$7:$B$30),MATCH($C23,PoolPlan_EnergyProj!$C$1:$N$1,0))</f>
        <v>1063</v>
      </c>
      <c r="AA23" s="17">
        <f ca="1">OFFSET(PoolPlan_EnergyProj!$B$6,MATCH(AA19,PoolPlan_EnergyProj!$B$7:$B$30),MATCH($C23,PoolPlan_EnergyProj!$C$1:$N$1,0))</f>
        <v>1106.6475966766186</v>
      </c>
      <c r="AB23" s="17">
        <f ca="1">OFFSET(PoolPlan_EnergyProj!$B$6,MATCH(AB19,PoolPlan_EnergyProj!$B$7:$B$30),MATCH($C23,PoolPlan_EnergyProj!$C$1:$N$1,0))</f>
        <v>1154.4418547045989</v>
      </c>
      <c r="AC23" s="17">
        <f ca="1">OFFSET(PoolPlan_EnergyProj!$B$6,MATCH(AC19,PoolPlan_EnergyProj!$B$7:$B$30),MATCH($C23,PoolPlan_EnergyProj!$C$1:$N$1,0))</f>
        <v>1204.3002667661713</v>
      </c>
      <c r="AD23" s="17">
        <f ca="1">OFFSET(PoolPlan_EnergyProj!$B$6,MATCH(AD19,PoolPlan_EnergyProj!$B$7:$B$30),MATCH($C23,PoolPlan_EnergyProj!$C$1:$N$1,0))</f>
        <v>1256.0245000113284</v>
      </c>
      <c r="AE23" s="17">
        <f ca="1">OFFSET(PoolPlan_EnergyProj!$B$6,MATCH(AE19,PoolPlan_EnergyProj!$B$7:$B$30),MATCH($C23,PoolPlan_EnergyProj!$C$1:$N$1,0))</f>
        <v>1308.8683758743434</v>
      </c>
      <c r="AF23" s="17">
        <f ca="1">OFFSET(PoolPlan_EnergyProj!$B$6,MATCH(AF19,PoolPlan_EnergyProj!$B$7:$B$30),MATCH($C23,PoolPlan_EnergyProj!$C$1:$N$1,0))</f>
        <v>1351.0425635415791</v>
      </c>
      <c r="AG23" s="17">
        <f ca="1">OFFSET(PoolPlan_EnergyProj!$B$6,MATCH(AG19,PoolPlan_EnergyProj!$B$7:$B$30),MATCH($C23,PoolPlan_EnergyProj!$C$1:$N$1,0))</f>
        <v>2022.808493871403</v>
      </c>
      <c r="AH23" s="17">
        <f ca="1">OFFSET(PoolPlan_EnergyProj!$B$6,MATCH(AH19,PoolPlan_EnergyProj!$B$7:$B$30),MATCH($C23,PoolPlan_EnergyProj!$C$1:$N$1,0))</f>
        <v>3154.8709277213279</v>
      </c>
      <c r="BP23" s="17">
        <f ca="1">SUM(BP20:BP22)</f>
        <v>576</v>
      </c>
      <c r="BQ23" s="17">
        <f t="shared" ref="BQ23:CM23" ca="1" si="523">SUM(BQ20:BQ22)</f>
        <v>600</v>
      </c>
      <c r="BR23" s="17">
        <f t="shared" ca="1" si="523"/>
        <v>625</v>
      </c>
      <c r="BS23" s="17">
        <f t="shared" ca="1" si="523"/>
        <v>651</v>
      </c>
      <c r="BT23" s="17">
        <f t="shared" ca="1" si="523"/>
        <v>678.00000000000011</v>
      </c>
      <c r="BU23" s="17">
        <f t="shared" ca="1" si="523"/>
        <v>705.99999999999989</v>
      </c>
      <c r="BV23" s="17">
        <f t="shared" ca="1" si="523"/>
        <v>736</v>
      </c>
      <c r="BW23" s="17">
        <f t="shared" ca="1" si="523"/>
        <v>766.99999999999989</v>
      </c>
      <c r="BX23" s="17">
        <f t="shared" ca="1" si="523"/>
        <v>797.99999999999989</v>
      </c>
      <c r="BY23" s="17">
        <f t="shared" ca="1" si="523"/>
        <v>832</v>
      </c>
      <c r="BZ23" s="17">
        <f t="shared" ca="1" si="523"/>
        <v>866</v>
      </c>
      <c r="CA23" s="17">
        <f t="shared" ca="1" si="523"/>
        <v>902</v>
      </c>
      <c r="CB23" s="17">
        <f t="shared" ca="1" si="523"/>
        <v>940</v>
      </c>
      <c r="CC23" s="17">
        <f t="shared" ca="1" si="523"/>
        <v>979</v>
      </c>
      <c r="CD23" s="17">
        <f t="shared" ca="1" si="523"/>
        <v>1020</v>
      </c>
      <c r="CE23" s="17">
        <f t="shared" ca="1" si="523"/>
        <v>1063</v>
      </c>
      <c r="CF23" s="17">
        <f t="shared" ca="1" si="523"/>
        <v>1106.6475966766186</v>
      </c>
      <c r="CG23" s="17">
        <f t="shared" ca="1" si="523"/>
        <v>1154.4418547045989</v>
      </c>
      <c r="CH23" s="17">
        <f t="shared" ca="1" si="523"/>
        <v>1204.3002667661713</v>
      </c>
      <c r="CI23" s="17">
        <f t="shared" ca="1" si="523"/>
        <v>1256.0245000113284</v>
      </c>
      <c r="CJ23" s="17">
        <f t="shared" ca="1" si="523"/>
        <v>1308.8683758743434</v>
      </c>
      <c r="CK23" s="17">
        <f t="shared" ca="1" si="523"/>
        <v>1351.0425635415791</v>
      </c>
      <c r="CL23" s="17">
        <f t="shared" ca="1" si="523"/>
        <v>2022.808493871403</v>
      </c>
      <c r="CM23" s="17">
        <f t="shared" ca="1" si="523"/>
        <v>3154.8709277213284</v>
      </c>
    </row>
    <row r="24" spans="1:141" x14ac:dyDescent="0.25">
      <c r="A24" t="str">
        <f t="shared" si="17"/>
        <v>MAL</v>
      </c>
      <c r="C24" t="str">
        <f>IFERROR(VLOOKUP(D24,PoolPlan_EnergyProj!$C$89:$D$100,2,FALSE),C23)</f>
        <v>MAL</v>
      </c>
      <c r="D24" s="93" t="s">
        <v>17</v>
      </c>
      <c r="E24">
        <v>2010</v>
      </c>
      <c r="F24">
        <v>2015</v>
      </c>
      <c r="G24">
        <v>2020</v>
      </c>
      <c r="H24">
        <v>2030</v>
      </c>
      <c r="I24">
        <f>I19</f>
        <v>2050</v>
      </c>
      <c r="K24">
        <v>2010</v>
      </c>
      <c r="L24">
        <f>K24+1</f>
        <v>2011</v>
      </c>
      <c r="M24">
        <f t="shared" ref="M24:AF24" si="524">L24+1</f>
        <v>2012</v>
      </c>
      <c r="N24">
        <f t="shared" si="524"/>
        <v>2013</v>
      </c>
      <c r="O24">
        <f t="shared" si="524"/>
        <v>2014</v>
      </c>
      <c r="P24">
        <f t="shared" si="524"/>
        <v>2015</v>
      </c>
      <c r="Q24">
        <f t="shared" si="524"/>
        <v>2016</v>
      </c>
      <c r="R24">
        <f t="shared" si="524"/>
        <v>2017</v>
      </c>
      <c r="S24">
        <f t="shared" si="524"/>
        <v>2018</v>
      </c>
      <c r="T24">
        <f t="shared" si="524"/>
        <v>2019</v>
      </c>
      <c r="U24">
        <f t="shared" si="524"/>
        <v>2020</v>
      </c>
      <c r="V24">
        <f t="shared" si="524"/>
        <v>2021</v>
      </c>
      <c r="W24">
        <f t="shared" si="524"/>
        <v>2022</v>
      </c>
      <c r="X24">
        <f t="shared" si="524"/>
        <v>2023</v>
      </c>
      <c r="Y24">
        <f t="shared" si="524"/>
        <v>2024</v>
      </c>
      <c r="Z24">
        <f t="shared" si="524"/>
        <v>2025</v>
      </c>
      <c r="AA24">
        <f t="shared" si="524"/>
        <v>2026</v>
      </c>
      <c r="AB24">
        <f t="shared" si="524"/>
        <v>2027</v>
      </c>
      <c r="AC24">
        <f t="shared" si="524"/>
        <v>2028</v>
      </c>
      <c r="AD24">
        <f t="shared" si="524"/>
        <v>2029</v>
      </c>
      <c r="AE24">
        <f t="shared" si="524"/>
        <v>2030</v>
      </c>
      <c r="AF24">
        <f t="shared" si="524"/>
        <v>2031</v>
      </c>
      <c r="AG24">
        <v>2040</v>
      </c>
      <c r="AH24">
        <v>2050</v>
      </c>
      <c r="AL24">
        <f>E24</f>
        <v>2010</v>
      </c>
      <c r="AM24">
        <f>G24</f>
        <v>2020</v>
      </c>
      <c r="AN24">
        <f>H24</f>
        <v>2030</v>
      </c>
      <c r="AO24">
        <f>I24</f>
        <v>2050</v>
      </c>
      <c r="AQ24">
        <v>2010</v>
      </c>
      <c r="AR24">
        <f>AQ24+1</f>
        <v>2011</v>
      </c>
      <c r="AS24">
        <f t="shared" ref="AS24:BL24" si="525">AR24+1</f>
        <v>2012</v>
      </c>
      <c r="AT24">
        <f t="shared" si="525"/>
        <v>2013</v>
      </c>
      <c r="AU24">
        <f t="shared" si="525"/>
        <v>2014</v>
      </c>
      <c r="AV24">
        <f t="shared" si="525"/>
        <v>2015</v>
      </c>
      <c r="AW24">
        <f t="shared" si="525"/>
        <v>2016</v>
      </c>
      <c r="AX24">
        <f t="shared" si="525"/>
        <v>2017</v>
      </c>
      <c r="AY24">
        <f t="shared" si="525"/>
        <v>2018</v>
      </c>
      <c r="AZ24">
        <f t="shared" si="525"/>
        <v>2019</v>
      </c>
      <c r="BA24">
        <f t="shared" si="525"/>
        <v>2020</v>
      </c>
      <c r="BB24">
        <f t="shared" si="525"/>
        <v>2021</v>
      </c>
      <c r="BC24">
        <f t="shared" si="525"/>
        <v>2022</v>
      </c>
      <c r="BD24">
        <f t="shared" si="525"/>
        <v>2023</v>
      </c>
      <c r="BE24">
        <f t="shared" si="525"/>
        <v>2024</v>
      </c>
      <c r="BF24">
        <f t="shared" si="525"/>
        <v>2025</v>
      </c>
      <c r="BG24">
        <f t="shared" si="525"/>
        <v>2026</v>
      </c>
      <c r="BH24">
        <f t="shared" si="525"/>
        <v>2027</v>
      </c>
      <c r="BI24">
        <f t="shared" si="525"/>
        <v>2028</v>
      </c>
      <c r="BJ24">
        <f t="shared" si="525"/>
        <v>2029</v>
      </c>
      <c r="BK24">
        <f t="shared" si="525"/>
        <v>2030</v>
      </c>
      <c r="BL24">
        <f t="shared" si="525"/>
        <v>2031</v>
      </c>
      <c r="BM24">
        <v>2040</v>
      </c>
      <c r="BN24">
        <v>2050</v>
      </c>
      <c r="BP24">
        <f>AQ24</f>
        <v>2010</v>
      </c>
      <c r="BQ24">
        <f t="shared" ref="BQ24:CM24" si="526">AR24</f>
        <v>2011</v>
      </c>
      <c r="BR24">
        <f t="shared" si="526"/>
        <v>2012</v>
      </c>
      <c r="BS24">
        <f t="shared" si="526"/>
        <v>2013</v>
      </c>
      <c r="BT24">
        <f t="shared" si="526"/>
        <v>2014</v>
      </c>
      <c r="BU24">
        <f t="shared" si="526"/>
        <v>2015</v>
      </c>
      <c r="BV24">
        <f t="shared" si="526"/>
        <v>2016</v>
      </c>
      <c r="BW24">
        <f t="shared" si="526"/>
        <v>2017</v>
      </c>
      <c r="BX24">
        <f t="shared" si="526"/>
        <v>2018</v>
      </c>
      <c r="BY24">
        <f t="shared" si="526"/>
        <v>2019</v>
      </c>
      <c r="BZ24">
        <f t="shared" si="526"/>
        <v>2020</v>
      </c>
      <c r="CA24">
        <f t="shared" si="526"/>
        <v>2021</v>
      </c>
      <c r="CB24">
        <f t="shared" si="526"/>
        <v>2022</v>
      </c>
      <c r="CC24">
        <f t="shared" si="526"/>
        <v>2023</v>
      </c>
      <c r="CD24">
        <f t="shared" si="526"/>
        <v>2024</v>
      </c>
      <c r="CE24">
        <f t="shared" si="526"/>
        <v>2025</v>
      </c>
      <c r="CF24">
        <f t="shared" si="526"/>
        <v>2026</v>
      </c>
      <c r="CG24">
        <f t="shared" si="526"/>
        <v>2027</v>
      </c>
      <c r="CH24">
        <f t="shared" si="526"/>
        <v>2028</v>
      </c>
      <c r="CI24">
        <f t="shared" si="526"/>
        <v>2029</v>
      </c>
      <c r="CJ24">
        <f t="shared" si="526"/>
        <v>2030</v>
      </c>
      <c r="CK24">
        <f t="shared" si="526"/>
        <v>2031</v>
      </c>
      <c r="CL24">
        <f t="shared" si="526"/>
        <v>2040</v>
      </c>
      <c r="CM24">
        <f t="shared" si="526"/>
        <v>2050</v>
      </c>
      <c r="CO24">
        <f>BP24</f>
        <v>2010</v>
      </c>
      <c r="CP24">
        <f t="shared" ref="CP24:DD24" si="527">BQ24</f>
        <v>2011</v>
      </c>
      <c r="CQ24">
        <f t="shared" si="527"/>
        <v>2012</v>
      </c>
      <c r="CR24">
        <f t="shared" si="527"/>
        <v>2013</v>
      </c>
      <c r="CS24">
        <f t="shared" si="527"/>
        <v>2014</v>
      </c>
      <c r="CT24">
        <f t="shared" si="527"/>
        <v>2015</v>
      </c>
      <c r="CU24">
        <f t="shared" si="527"/>
        <v>2016</v>
      </c>
      <c r="CV24">
        <f t="shared" si="527"/>
        <v>2017</v>
      </c>
      <c r="CW24">
        <f t="shared" si="527"/>
        <v>2018</v>
      </c>
      <c r="CX24">
        <f t="shared" si="527"/>
        <v>2019</v>
      </c>
      <c r="CY24">
        <f t="shared" si="527"/>
        <v>2020</v>
      </c>
      <c r="CZ24">
        <f t="shared" si="527"/>
        <v>2021</v>
      </c>
      <c r="DA24">
        <f t="shared" si="527"/>
        <v>2022</v>
      </c>
      <c r="DB24">
        <f t="shared" si="527"/>
        <v>2023</v>
      </c>
      <c r="DC24">
        <f t="shared" si="527"/>
        <v>2024</v>
      </c>
      <c r="DD24">
        <f t="shared" si="527"/>
        <v>2025</v>
      </c>
      <c r="DE24">
        <f>CF24</f>
        <v>2026</v>
      </c>
      <c r="DF24">
        <f t="shared" ref="DF24:DG24" si="528">CG24</f>
        <v>2027</v>
      </c>
      <c r="DG24">
        <f t="shared" si="528"/>
        <v>2028</v>
      </c>
      <c r="DH24">
        <f>CI24</f>
        <v>2029</v>
      </c>
      <c r="DI24">
        <f t="shared" ref="DI24" si="529">CJ24</f>
        <v>2030</v>
      </c>
      <c r="DJ24">
        <f>CK24</f>
        <v>2031</v>
      </c>
      <c r="DK24">
        <f>CL24</f>
        <v>2040</v>
      </c>
      <c r="DL24">
        <f t="shared" ref="DL24" si="530">CM24</f>
        <v>2050</v>
      </c>
    </row>
    <row r="25" spans="1:141" x14ac:dyDescent="0.25">
      <c r="A25" t="str">
        <f t="shared" si="17"/>
        <v>IndustryMAL</v>
      </c>
      <c r="B25" t="str">
        <f t="shared" ref="B25:B27" si="531">B20</f>
        <v>Industry</v>
      </c>
      <c r="C25" t="str">
        <f>IFERROR(VLOOKUP(D25,PoolPlan_EnergyProj!$C$89:$D$100,2,FALSE),C24)</f>
        <v>MAL</v>
      </c>
      <c r="D25" t="s">
        <v>146</v>
      </c>
      <c r="E25" s="91">
        <v>0.35</v>
      </c>
      <c r="F25" s="91">
        <v>0.35</v>
      </c>
      <c r="G25" s="91">
        <v>0.35</v>
      </c>
      <c r="H25" s="91">
        <v>0.35</v>
      </c>
      <c r="I25" s="91">
        <v>0.35</v>
      </c>
      <c r="K25" s="91">
        <f>E25</f>
        <v>0.35</v>
      </c>
      <c r="L25" s="91">
        <f>($P25-$K25)/($P$4-$K$4)+K25</f>
        <v>0.35</v>
      </c>
      <c r="M25" s="91">
        <f t="shared" ref="M25:O25" si="532">($P25-$K25)/($P$4-$K$4)+L25</f>
        <v>0.35</v>
      </c>
      <c r="N25" s="91">
        <f t="shared" si="532"/>
        <v>0.35</v>
      </c>
      <c r="O25" s="91">
        <f t="shared" si="532"/>
        <v>0.35</v>
      </c>
      <c r="P25" s="91">
        <f>F25</f>
        <v>0.35</v>
      </c>
      <c r="Q25" s="91">
        <f>($U25-$P25)/($U$4-$P$4)+P25</f>
        <v>0.35</v>
      </c>
      <c r="R25" s="91">
        <f t="shared" ref="R25:T25" si="533">($U25-$P25)/($U$4-$P$4)+Q25</f>
        <v>0.35</v>
      </c>
      <c r="S25" s="91">
        <f t="shared" si="533"/>
        <v>0.35</v>
      </c>
      <c r="T25" s="91">
        <f t="shared" si="533"/>
        <v>0.35</v>
      </c>
      <c r="U25" s="91">
        <f>G25</f>
        <v>0.35</v>
      </c>
      <c r="V25" s="91">
        <f>(AE25-U25)/(AE$4-U$4)+U25</f>
        <v>0.35</v>
      </c>
      <c r="W25" s="91">
        <f>(AE25-U25)/(AE$4-U$4)+V25</f>
        <v>0.35</v>
      </c>
      <c r="X25" s="91">
        <f>(AE25-U25)/(AE$4-U$4)+W25</f>
        <v>0.35</v>
      </c>
      <c r="Y25" s="91">
        <f>(AE25-U25)/(AE$4-U$4)+X25</f>
        <v>0.35</v>
      </c>
      <c r="Z25" s="91">
        <f>(AE25-U25)/(AE$4-U$4)+Y25</f>
        <v>0.35</v>
      </c>
      <c r="AA25" s="91">
        <f>(AE25-U25)/(AE$4-U$4)+Z25</f>
        <v>0.35</v>
      </c>
      <c r="AB25" s="91">
        <f>(AE25-U25)/(AE$4-U$4)+AA25</f>
        <v>0.35</v>
      </c>
      <c r="AC25" s="91">
        <f>(AE25-U25)/(AE$4-U$4)+AB25</f>
        <v>0.35</v>
      </c>
      <c r="AD25" s="91">
        <f>(AE25-U25)/(AE$4-U$4)+AC25</f>
        <v>0.35</v>
      </c>
      <c r="AE25" s="91">
        <f>H25</f>
        <v>0.35</v>
      </c>
      <c r="AF25" s="91">
        <f>(AH25-AE25)/(AH$4-AE$4)+AE25</f>
        <v>0.35</v>
      </c>
      <c r="AG25" s="91">
        <f>(AE25+AH25)/2</f>
        <v>0.35</v>
      </c>
      <c r="AH25" s="91">
        <f>I25</f>
        <v>0.35</v>
      </c>
      <c r="AJ25" s="94">
        <f>SUMIF(AR2008_Stats!$A$18:$A$29,C25,AR2008_Stats!$T$18:$T$29)</f>
        <v>0.18300000000000005</v>
      </c>
      <c r="AK25" s="91">
        <f>SUMIF(AR2008_Stats!$A$18:$A$29,C25,AR2008_Stats!$R$18:$R$29)</f>
        <v>0.05</v>
      </c>
      <c r="AL25" s="83">
        <v>0.02</v>
      </c>
      <c r="AM25" s="91">
        <v>0.02</v>
      </c>
      <c r="AN25" s="91">
        <v>0.01</v>
      </c>
      <c r="AO25" s="91">
        <v>0.01</v>
      </c>
      <c r="AP25" s="95" t="str">
        <f>AQ25&amp;" "&amp;AR25&amp;" "&amp;AS25&amp;" "&amp;AT25&amp;" "&amp;AU25&amp;" "&amp;AV25&amp;" "&amp;AW25&amp;" "&amp;AX25&amp;" "&amp;AY25&amp;" "&amp;AZ25&amp;" "&amp;BA25&amp;" "&amp;BB25&amp;" "&amp;BC25&amp;" "&amp;BD25&amp;" "&amp;BE25&amp;" "&amp;BF25&amp;" "&amp;BG25&amp;" "&amp;BH25&amp;" "&amp;BI25&amp;" "&amp;BJ25&amp;" "&amp;BK25&amp;" "&amp;BL25&amp;" "&amp;BM25&amp;" "&amp;BN25&amp;" "</f>
        <v xml:space="preserve">0.02 0.02 0.02 0.02 0.02 0.02 0.02 0.02 0.02 0.02 0.02 0.019 0.018 0.017 0.016 0.015 0.014 0.013 0.012 0.011 0.01 0.01 0.01 0.01 </v>
      </c>
      <c r="AQ25" s="91">
        <f>AL25</f>
        <v>0.02</v>
      </c>
      <c r="AR25" s="91">
        <f>(BA25-AQ25)/(BA$4-AQ$4)+AQ25</f>
        <v>0.02</v>
      </c>
      <c r="AS25" s="91">
        <f>(BA25-AQ25)/(BA$4-AQ$4)+AR25</f>
        <v>0.02</v>
      </c>
      <c r="AT25" s="91">
        <f>(BA25-AQ25)/(BA$4-AQ$4)+AS25</f>
        <v>0.02</v>
      </c>
      <c r="AU25" s="91">
        <f>(BA25-AQ25)/(BA$4-AQ$4)+AT25</f>
        <v>0.02</v>
      </c>
      <c r="AV25" s="91">
        <f>(BA25-AQ25)/(BA$4-AQ$4)+AU25</f>
        <v>0.02</v>
      </c>
      <c r="AW25" s="91">
        <f>(BA25-AQ25)/(BA$4-AQ$4)+AV25</f>
        <v>0.02</v>
      </c>
      <c r="AX25" s="91">
        <f>(BA25-AQ25)/(BA$4-AQ$4)+AW25</f>
        <v>0.02</v>
      </c>
      <c r="AY25" s="91">
        <f>(BA25-AQ25)/(BA$4-AQ$4)+AX25</f>
        <v>0.02</v>
      </c>
      <c r="AZ25" s="91">
        <f>(BA25-AQ25)/(BA$4-AQ$4)+AY25</f>
        <v>0.02</v>
      </c>
      <c r="BA25" s="91">
        <f>AM25</f>
        <v>0.02</v>
      </c>
      <c r="BB25" s="91">
        <f>(BK25-BA25)/(BK$4-BA$4)+BA25</f>
        <v>1.9E-2</v>
      </c>
      <c r="BC25" s="91">
        <f>(BK25-BA25)/(BK$4-BA$4)+BB25</f>
        <v>1.7999999999999999E-2</v>
      </c>
      <c r="BD25" s="91">
        <f>(BK25-BA25)/(BK$4-BA$4)+BC25</f>
        <v>1.6999999999999998E-2</v>
      </c>
      <c r="BE25" s="91">
        <f>(BK25-BA25)/(BK$4-BA$4)+BD25</f>
        <v>1.5999999999999997E-2</v>
      </c>
      <c r="BF25" s="91">
        <f>(BK25-BA25)/(BK$4-BA$4)+BE25</f>
        <v>1.4999999999999996E-2</v>
      </c>
      <c r="BG25" s="91">
        <f>(BK25-BA25)/(BK$4-BA$4)+BF25</f>
        <v>1.3999999999999995E-2</v>
      </c>
      <c r="BH25" s="91">
        <f>(BK25-BA25)/(BK$4-BA$4)+BG25</f>
        <v>1.2999999999999994E-2</v>
      </c>
      <c r="BI25" s="91">
        <f>(BK25-BA25)/(BK$4-BA$4)+BH25</f>
        <v>1.1999999999999993E-2</v>
      </c>
      <c r="BJ25" s="91">
        <f>(BK25-BA25)/(BK$4-BA$4)+BI25</f>
        <v>1.0999999999999992E-2</v>
      </c>
      <c r="BK25" s="91">
        <f>AN25</f>
        <v>0.01</v>
      </c>
      <c r="BL25" s="91">
        <f>(BN25-BK25)/(BN$4-BK$4)+BK25</f>
        <v>0.01</v>
      </c>
      <c r="BM25" s="91">
        <f>(BK25+BN25)/2</f>
        <v>0.01</v>
      </c>
      <c r="BN25" s="91">
        <f>AO25</f>
        <v>0.01</v>
      </c>
      <c r="BP25" s="17">
        <f ca="1">K25*K28</f>
        <v>560</v>
      </c>
      <c r="BQ25" s="17">
        <f t="shared" ref="BQ25" ca="1" si="534">L25*L28</f>
        <v>689.84999999999991</v>
      </c>
      <c r="BR25" s="17">
        <f t="shared" ref="BR25" ca="1" si="535">M25*M28</f>
        <v>722.75</v>
      </c>
      <c r="BS25" s="17">
        <f t="shared" ref="BS25" ca="1" si="536">N25*N28</f>
        <v>755.3</v>
      </c>
      <c r="BT25" s="17">
        <f t="shared" ref="BT25" ca="1" si="537">O25*O28</f>
        <v>788.55</v>
      </c>
      <c r="BU25" s="17">
        <f t="shared" ref="BU25" ca="1" si="538">P25*P28</f>
        <v>821.44999999999993</v>
      </c>
      <c r="BV25" s="17">
        <f t="shared" ref="BV25" ca="1" si="539">Q25*Q28</f>
        <v>862.52249999999992</v>
      </c>
      <c r="BW25" s="17">
        <f t="shared" ref="BW25" ca="1" si="540">R25*R28</f>
        <v>905.64862499999992</v>
      </c>
      <c r="BX25" s="17">
        <f t="shared" ref="BX25" ca="1" si="541">S25*S28</f>
        <v>950.9310562500001</v>
      </c>
      <c r="BY25" s="17">
        <f t="shared" ref="BY25" ca="1" si="542">T25*T28</f>
        <v>998.47760906250005</v>
      </c>
      <c r="BZ25" s="17">
        <f t="shared" ref="BZ25" ca="1" si="543">U25*U28</f>
        <v>1048.4014895156251</v>
      </c>
      <c r="CA25" s="17">
        <f t="shared" ref="CA25" ca="1" si="544">V25*V28</f>
        <v>1100.8215639914065</v>
      </c>
      <c r="CB25" s="17">
        <f t="shared" ref="CB25" ca="1" si="545">W25*W28</f>
        <v>1155.8626421909769</v>
      </c>
      <c r="CC25" s="17">
        <f t="shared" ref="CC25" ca="1" si="546">X25*X28</f>
        <v>1213.6557743005258</v>
      </c>
      <c r="CD25" s="17">
        <f t="shared" ref="CD25" ca="1" si="547">Y25*Y28</f>
        <v>1274.3385630155522</v>
      </c>
      <c r="CE25" s="17">
        <f t="shared" ref="CE25" ca="1" si="548">Z25*Z28</f>
        <v>1338.0554911663296</v>
      </c>
      <c r="CF25" s="17">
        <f t="shared" ref="CF25" ca="1" si="549">AA25*AA28</f>
        <v>1404.9582657246463</v>
      </c>
      <c r="CG25" s="17">
        <f t="shared" ref="CG25" ca="1" si="550">AB25*AB28</f>
        <v>1475.2061790108787</v>
      </c>
      <c r="CH25" s="17">
        <f t="shared" ref="CH25" ca="1" si="551">AC25*AC28</f>
        <v>1548.9664879614227</v>
      </c>
      <c r="CI25" s="17">
        <f t="shared" ref="CI25" ca="1" si="552">AD25*AD28</f>
        <v>1626.4148123594939</v>
      </c>
      <c r="CJ25" s="17">
        <f t="shared" ref="CJ25" ca="1" si="553">AE25*AE28</f>
        <v>1707.7355529774684</v>
      </c>
      <c r="CK25" s="17">
        <f t="shared" ref="CK25" ca="1" si="554">AF25*AF28</f>
        <v>1793.1223306263419</v>
      </c>
      <c r="CL25" s="17">
        <f t="shared" ref="CL25" ca="1" si="555">AG25*AG28</f>
        <v>2781.721266201801</v>
      </c>
      <c r="CM25" s="17">
        <f t="shared" ref="CM25" ca="1" si="556">AH25*AH28</f>
        <v>4531.130823708655</v>
      </c>
      <c r="CN25" s="95" t="str">
        <f t="shared" ref="CN25:CN27" ca="1" si="557">CO25&amp;" "&amp;CP25&amp;" "&amp;CQ25&amp;" "&amp;CR25&amp;" "&amp;CS25&amp;" "&amp;CT25&amp;" "&amp;CU25&amp;" "&amp;CV25&amp;" "&amp;CW25&amp;" "&amp;CX25&amp;" "&amp;CY25&amp;" "&amp;CZ25&amp;" "&amp;DA25&amp;" "&amp;DB25&amp;" "&amp;DC25&amp;" "&amp;DD25&amp;" "&amp;DE25&amp;" "&amp;DF25&amp;" "&amp;DG25&amp;" "&amp;DH25&amp;" "&amp;DI25&amp;" "&amp;DJ25&amp;" "&amp;DK25&amp;" "&amp;DL25&amp;" "</f>
        <v xml:space="preserve">59.5 73.3 76.8 80.3 83.8 87.3 91.7 96.3 101.1 106.1 111.4 117.1 123.1 129.4 136 142.9 150.2 157.9 166 174.4 183.3 192.5 298.7 486.5 </v>
      </c>
      <c r="CO25" s="96">
        <f ca="1">ROUND(BP25*(1-AQ25)*(1-$AK25)/8.76*(1+CO$2),1)</f>
        <v>59.5</v>
      </c>
      <c r="CP25" s="96">
        <f t="shared" ref="CP25:CP27" ca="1" si="558">ROUND(BQ25*(1-AR25)*(1-$AK25)/8.76*(1+CP$2),1)</f>
        <v>73.3</v>
      </c>
      <c r="CQ25" s="96">
        <f t="shared" ref="CQ25:CQ27" ca="1" si="559">ROUND(BR25*(1-AS25)*(1-$AK25)/8.76*(1+CQ$2),1)</f>
        <v>76.8</v>
      </c>
      <c r="CR25" s="96">
        <f t="shared" ref="CR25:CR27" ca="1" si="560">ROUND(BS25*(1-AT25)*(1-$AK25)/8.76*(1+CR$2),1)</f>
        <v>80.3</v>
      </c>
      <c r="CS25" s="96">
        <f t="shared" ref="CS25:CS27" ca="1" si="561">ROUND(BT25*(1-AU25)*(1-$AK25)/8.76*(1+CS$2),1)</f>
        <v>83.8</v>
      </c>
      <c r="CT25" s="96">
        <f t="shared" ref="CT25:CT27" ca="1" si="562">ROUND(BU25*(1-AV25)*(1-$AK25)/8.76*(1+CT$2),1)</f>
        <v>87.3</v>
      </c>
      <c r="CU25" s="96">
        <f t="shared" ref="CU25:CU27" ca="1" si="563">ROUND(BV25*(1-AW25)*(1-$AK25)/8.76*(1+CU$2),1)</f>
        <v>91.7</v>
      </c>
      <c r="CV25" s="96">
        <f t="shared" ref="CV25:CV27" ca="1" si="564">ROUND(BW25*(1-AX25)*(1-$AK25)/8.76*(1+CV$2),1)</f>
        <v>96.3</v>
      </c>
      <c r="CW25" s="96">
        <f t="shared" ref="CW25:CW27" ca="1" si="565">ROUND(BX25*(1-AY25)*(1-$AK25)/8.76*(1+CW$2),1)</f>
        <v>101.1</v>
      </c>
      <c r="CX25" s="96">
        <f t="shared" ref="CX25:CX27" ca="1" si="566">ROUND(BY25*(1-AZ25)*(1-$AK25)/8.76*(1+CX$2),1)</f>
        <v>106.1</v>
      </c>
      <c r="CY25" s="96">
        <f t="shared" ref="CY25:CY27" ca="1" si="567">ROUND(BZ25*(1-BA25)*(1-$AK25)/8.76*(1+CY$2),1)</f>
        <v>111.4</v>
      </c>
      <c r="CZ25" s="96">
        <f t="shared" ref="CZ25:CZ27" ca="1" si="568">ROUND(CA25*(1-BB25)*(1-$AK25)/8.76*(1+CZ$2),1)</f>
        <v>117.1</v>
      </c>
      <c r="DA25" s="96">
        <f t="shared" ref="DA25:DA27" ca="1" si="569">ROUND(CB25*(1-BC25)*(1-$AK25)/8.76*(1+DA$2),1)</f>
        <v>123.1</v>
      </c>
      <c r="DB25" s="96">
        <f t="shared" ref="DB25:DB27" ca="1" si="570">ROUND(CC25*(1-BD25)*(1-$AK25)/8.76*(1+DB$2),1)</f>
        <v>129.4</v>
      </c>
      <c r="DC25" s="96">
        <f t="shared" ref="DC25:DC27" ca="1" si="571">ROUND(CD25*(1-BE25)*(1-$AK25)/8.76*(1+DC$2),1)</f>
        <v>136</v>
      </c>
      <c r="DD25" s="96">
        <f t="shared" ref="DD25:DD27" ca="1" si="572">ROUND(CE25*(1-BF25)*(1-$AK25)/8.76*(1+DD$2),1)</f>
        <v>142.9</v>
      </c>
      <c r="DE25" s="96">
        <f t="shared" ref="DE25:DE27" ca="1" si="573">ROUND(CF25*(1-BG25)*(1-$AK25)/8.76*(1+DE$2),1)</f>
        <v>150.19999999999999</v>
      </c>
      <c r="DF25" s="96">
        <f t="shared" ref="DF25:DF27" ca="1" si="574">ROUND(CG25*(1-BH25)*(1-$AK25)/8.76*(1+DF$2),1)</f>
        <v>157.9</v>
      </c>
      <c r="DG25" s="96">
        <f t="shared" ref="DG25:DG27" ca="1" si="575">ROUND(CH25*(1-BI25)*(1-$AK25)/8.76*(1+DG$2),1)</f>
        <v>166</v>
      </c>
      <c r="DH25" s="96">
        <f t="shared" ref="DH25:DH27" ca="1" si="576">ROUND(CI25*(1-BJ25)*(1-$AK25)/8.76*(1+DH$2),1)</f>
        <v>174.4</v>
      </c>
      <c r="DI25" s="96">
        <f t="shared" ref="DI25:DI27" ca="1" si="577">ROUND(CJ25*(1-BK25)*(1-$AK25)/8.76*(1+DI$2),1)</f>
        <v>183.3</v>
      </c>
      <c r="DJ25" s="96">
        <f t="shared" ref="DJ25:DJ27" ca="1" si="578">ROUND(CK25*(1-BL25)*(1-$AK25)/8.76*(1+DJ$2),1)</f>
        <v>192.5</v>
      </c>
      <c r="DK25" s="96">
        <f t="shared" ref="DK25:DK27" ca="1" si="579">ROUND(CL25*(1-BM25)*(1-$AK25)/8.76*(1+DK$2),1)</f>
        <v>298.7</v>
      </c>
      <c r="DL25" s="96">
        <f t="shared" ref="DL25:DL27" ca="1" si="580">ROUND(CM25*(1-BN25)*(1-$AK25)/8.76*(1+DL$2),1)</f>
        <v>486.5</v>
      </c>
      <c r="DM25" s="95" t="str">
        <f t="shared" ref="DM25:DM27" si="581">DN25&amp;" "&amp;DO25&amp;" "&amp;DP25&amp;" "&amp;DQ25&amp;" "&amp;DR25&amp;" "&amp;DS25&amp;" "&amp;DT25&amp;" "&amp;DU25&amp;" "&amp;DV25&amp;" "&amp;DW25&amp;" "&amp;DX25&amp;" "&amp;DY25&amp;" "&amp;DZ25&amp;" "&amp;EA25&amp;" "&amp;EB25&amp;" "&amp;EC25&amp;" "&amp;ED25&amp;" "&amp;EE25&amp;" "&amp;EF25&amp;" "&amp;EG25&amp;" "&amp;EH25&amp;" "&amp;EI25&amp;" "&amp;EJ25&amp;" "&amp;EK25&amp;" "</f>
        <v xml:space="preserve">0.98 0.98 0.98 0.98 0.98 0.98 0.98 0.98 0.98 0.98 0.98 0.981 0.982 0.983 0.984 0.985 0.986 0.987 0.988 0.989 0.99 0.99 0.99 0.99 </v>
      </c>
      <c r="DN25" s="91">
        <f>1-AQ25</f>
        <v>0.98</v>
      </c>
      <c r="DO25" s="91">
        <f t="shared" ref="DO25:ED27" si="582">1-AR25</f>
        <v>0.98</v>
      </c>
      <c r="DP25" s="91">
        <f t="shared" si="582"/>
        <v>0.98</v>
      </c>
      <c r="DQ25" s="91">
        <f t="shared" si="582"/>
        <v>0.98</v>
      </c>
      <c r="DR25" s="91">
        <f t="shared" si="582"/>
        <v>0.98</v>
      </c>
      <c r="DS25" s="91">
        <f t="shared" si="582"/>
        <v>0.98</v>
      </c>
      <c r="DT25" s="91">
        <f t="shared" si="582"/>
        <v>0.98</v>
      </c>
      <c r="DU25" s="91">
        <f t="shared" si="582"/>
        <v>0.98</v>
      </c>
      <c r="DV25" s="91">
        <f t="shared" si="582"/>
        <v>0.98</v>
      </c>
      <c r="DW25" s="91">
        <f t="shared" si="582"/>
        <v>0.98</v>
      </c>
      <c r="DX25" s="91">
        <f t="shared" si="582"/>
        <v>0.98</v>
      </c>
      <c r="DY25" s="91">
        <f t="shared" si="582"/>
        <v>0.98099999999999998</v>
      </c>
      <c r="DZ25" s="91">
        <f t="shared" si="582"/>
        <v>0.98199999999999998</v>
      </c>
      <c r="EA25" s="91">
        <f t="shared" si="582"/>
        <v>0.98299999999999998</v>
      </c>
      <c r="EB25" s="91">
        <f t="shared" si="582"/>
        <v>0.98399999999999999</v>
      </c>
      <c r="EC25" s="91">
        <f t="shared" si="582"/>
        <v>0.98499999999999999</v>
      </c>
      <c r="ED25" s="91">
        <f t="shared" si="582"/>
        <v>0.98599999999999999</v>
      </c>
      <c r="EE25" s="91">
        <f t="shared" ref="EE25:EK27" si="583">1-BH25</f>
        <v>0.98699999999999999</v>
      </c>
      <c r="EF25" s="91">
        <f t="shared" si="583"/>
        <v>0.98799999999999999</v>
      </c>
      <c r="EG25" s="91">
        <f t="shared" si="583"/>
        <v>0.98899999999999999</v>
      </c>
      <c r="EH25" s="91">
        <f t="shared" si="583"/>
        <v>0.99</v>
      </c>
      <c r="EI25" s="91">
        <f t="shared" si="583"/>
        <v>0.99</v>
      </c>
      <c r="EJ25" s="91">
        <f t="shared" si="583"/>
        <v>0.99</v>
      </c>
      <c r="EK25" s="91">
        <f t="shared" si="583"/>
        <v>0.99</v>
      </c>
    </row>
    <row r="26" spans="1:141" x14ac:dyDescent="0.25">
      <c r="A26" t="str">
        <f t="shared" si="17"/>
        <v>UrbanMAL</v>
      </c>
      <c r="B26" t="str">
        <f t="shared" si="531"/>
        <v>Urban</v>
      </c>
      <c r="C26" t="str">
        <f>IFERROR(VLOOKUP(D26,PoolPlan_EnergyProj!$C$89:$D$100,2,FALSE),C25)</f>
        <v>MAL</v>
      </c>
      <c r="D26" t="s">
        <v>148</v>
      </c>
      <c r="E26" s="91">
        <f>1-E25-E27</f>
        <v>0.63</v>
      </c>
      <c r="F26" s="91">
        <f>1-F25-F27</f>
        <v>0.62</v>
      </c>
      <c r="G26" s="91">
        <f t="shared" ref="G26:I26" si="584">1-G25-G27</f>
        <v>0.6</v>
      </c>
      <c r="H26" s="91">
        <f t="shared" si="584"/>
        <v>0.6</v>
      </c>
      <c r="I26" s="91">
        <f t="shared" si="584"/>
        <v>0.6</v>
      </c>
      <c r="K26" s="91">
        <f t="shared" ref="K26:K27" si="585">E26</f>
        <v>0.63</v>
      </c>
      <c r="L26" s="91">
        <f t="shared" ref="L26:O27" si="586">($P26-$K26)/($P$4-$K$4)+K26</f>
        <v>0.628</v>
      </c>
      <c r="M26" s="91">
        <f t="shared" si="586"/>
        <v>0.626</v>
      </c>
      <c r="N26" s="91">
        <f t="shared" si="586"/>
        <v>0.624</v>
      </c>
      <c r="O26" s="91">
        <f t="shared" si="586"/>
        <v>0.622</v>
      </c>
      <c r="P26" s="91">
        <f t="shared" ref="P26:P27" si="587">F26</f>
        <v>0.62</v>
      </c>
      <c r="Q26" s="91">
        <f t="shared" ref="Q26:T27" si="588">($U26-$P26)/($U$4-$P$4)+P26</f>
        <v>0.61599999999999999</v>
      </c>
      <c r="R26" s="91">
        <f t="shared" si="588"/>
        <v>0.61199999999999999</v>
      </c>
      <c r="S26" s="91">
        <f t="shared" si="588"/>
        <v>0.60799999999999998</v>
      </c>
      <c r="T26" s="91">
        <f t="shared" si="588"/>
        <v>0.60399999999999998</v>
      </c>
      <c r="U26" s="91">
        <f t="shared" ref="U26:U27" si="589">G26</f>
        <v>0.6</v>
      </c>
      <c r="V26" s="91">
        <f t="shared" ref="V26:V27" si="590">(AE26-U26)/(AE$4-U$4)+U26</f>
        <v>0.6</v>
      </c>
      <c r="W26" s="91">
        <f t="shared" ref="W26:W27" si="591">(AE26-U26)/(AE$4-U$4)+V26</f>
        <v>0.6</v>
      </c>
      <c r="X26" s="91">
        <f t="shared" ref="X26:X27" si="592">(AE26-U26)/(AE$4-U$4)+W26</f>
        <v>0.6</v>
      </c>
      <c r="Y26" s="91">
        <f t="shared" ref="Y26:Y27" si="593">(AE26-U26)/(AE$4-U$4)+X26</f>
        <v>0.6</v>
      </c>
      <c r="Z26" s="91">
        <f t="shared" ref="Z26:Z27" si="594">(AE26-U26)/(AE$4-U$4)+Y26</f>
        <v>0.6</v>
      </c>
      <c r="AA26" s="91">
        <f t="shared" ref="AA26:AA27" si="595">(AE26-U26)/(AE$4-U$4)+Z26</f>
        <v>0.6</v>
      </c>
      <c r="AB26" s="91">
        <f t="shared" ref="AB26:AB27" si="596">(AE26-U26)/(AE$4-U$4)+AA26</f>
        <v>0.6</v>
      </c>
      <c r="AC26" s="91">
        <f t="shared" ref="AC26:AC27" si="597">(AE26-U26)/(AE$4-U$4)+AB26</f>
        <v>0.6</v>
      </c>
      <c r="AD26" s="91">
        <f t="shared" ref="AD26:AD27" si="598">(AE26-U26)/(AE$4-U$4)+AC26</f>
        <v>0.6</v>
      </c>
      <c r="AE26" s="91">
        <f t="shared" ref="AE26:AE27" si="599">H26</f>
        <v>0.6</v>
      </c>
      <c r="AF26" s="91">
        <f>(AH26-AE26)/(AH$4-AE$4)+AE26</f>
        <v>0.6</v>
      </c>
      <c r="AG26" s="91">
        <f t="shared" ref="AG26:AG27" si="600">(AE26+AH26)/2</f>
        <v>0.6</v>
      </c>
      <c r="AH26" s="91">
        <f>I26</f>
        <v>0.6</v>
      </c>
      <c r="AJ26" s="91" t="s">
        <v>149</v>
      </c>
      <c r="AK26" s="91">
        <f>AK25</f>
        <v>0.05</v>
      </c>
      <c r="AL26" s="97">
        <v>0.2</v>
      </c>
      <c r="AM26" s="91">
        <v>0.1</v>
      </c>
      <c r="AN26" s="91">
        <v>0.08</v>
      </c>
      <c r="AO26" s="91">
        <f>AN26</f>
        <v>0.08</v>
      </c>
      <c r="AP26" s="95" t="str">
        <f>AQ26&amp;" "&amp;AR26&amp;" "&amp;AS26&amp;" "&amp;AT26&amp;" "&amp;AU26&amp;" "&amp;AV26&amp;" "&amp;AW26&amp;" "&amp;AX26&amp;" "&amp;AY26&amp;" "&amp;AZ26&amp;" "&amp;BA26&amp;" "&amp;BB26&amp;" "&amp;BC26&amp;" "&amp;BD26&amp;" "&amp;BE26&amp;" "&amp;BF26&amp;" "&amp;BG26&amp;" "&amp;BH26&amp;" "&amp;BI26&amp;" "&amp;BJ26&amp;" "&amp;BK26&amp;" "&amp;BL26&amp;" "&amp;BM26&amp;" "&amp;BN26&amp;" "</f>
        <v xml:space="preserve">0.2 0.19 0.18 0.17 0.16 0.15 0.14 0.13 0.12 0.11 0.1 0.098 0.096 0.094 0.092 0.09 0.088 0.086 0.084 0.082 0.08 0.08 0.08 0.08 </v>
      </c>
      <c r="AQ26" s="91">
        <f t="shared" ref="AQ26:AQ27" si="601">AL26</f>
        <v>0.2</v>
      </c>
      <c r="AR26" s="91">
        <f t="shared" ref="AR26:AR27" si="602">(BA26-AQ26)/(BA$4-AQ$4)+AQ26</f>
        <v>0.19</v>
      </c>
      <c r="AS26" s="91">
        <f t="shared" ref="AS26:AS27" si="603">(BA26-AQ26)/(BA$4-AQ$4)+AR26</f>
        <v>0.18</v>
      </c>
      <c r="AT26" s="91">
        <f t="shared" ref="AT26:AT27" si="604">(BA26-AQ26)/(BA$4-AQ$4)+AS26</f>
        <v>0.16999999999999998</v>
      </c>
      <c r="AU26" s="91">
        <f t="shared" ref="AU26:AU27" si="605">(BA26-AQ26)/(BA$4-AQ$4)+AT26</f>
        <v>0.15999999999999998</v>
      </c>
      <c r="AV26" s="91">
        <f t="shared" ref="AV26:AV27" si="606">(BA26-AQ26)/(BA$4-AQ$4)+AU26</f>
        <v>0.14999999999999997</v>
      </c>
      <c r="AW26" s="91">
        <f t="shared" ref="AW26:AW27" si="607">(BA26-AQ26)/(BA$4-AQ$4)+AV26</f>
        <v>0.13999999999999996</v>
      </c>
      <c r="AX26" s="91">
        <f t="shared" ref="AX26:AX27" si="608">(BA26-AQ26)/(BA$4-AQ$4)+AW26</f>
        <v>0.12999999999999995</v>
      </c>
      <c r="AY26" s="91">
        <f t="shared" ref="AY26:AY27" si="609">(BA26-AQ26)/(BA$4-AQ$4)+AX26</f>
        <v>0.11999999999999995</v>
      </c>
      <c r="AZ26" s="91">
        <f t="shared" ref="AZ26:AZ27" si="610">(BA26-AQ26)/(BA$4-AQ$4)+AY26</f>
        <v>0.10999999999999996</v>
      </c>
      <c r="BA26" s="91">
        <f t="shared" ref="BA26:BA27" si="611">AM26</f>
        <v>0.1</v>
      </c>
      <c r="BB26" s="91">
        <f t="shared" ref="BB26:BB27" si="612">(BK26-BA26)/(BK$4-BA$4)+BA26</f>
        <v>9.8000000000000004E-2</v>
      </c>
      <c r="BC26" s="91">
        <f t="shared" ref="BC26:BC27" si="613">(BK26-BA26)/(BK$4-BA$4)+BB26</f>
        <v>9.6000000000000002E-2</v>
      </c>
      <c r="BD26" s="91">
        <f t="shared" ref="BD26:BD27" si="614">(BK26-BA26)/(BK$4-BA$4)+BC26</f>
        <v>9.4E-2</v>
      </c>
      <c r="BE26" s="91">
        <f t="shared" ref="BE26:BE27" si="615">(BK26-BA26)/(BK$4-BA$4)+BD26</f>
        <v>9.1999999999999998E-2</v>
      </c>
      <c r="BF26" s="91">
        <f t="shared" ref="BF26:BF27" si="616">(BK26-BA26)/(BK$4-BA$4)+BE26</f>
        <v>0.09</v>
      </c>
      <c r="BG26" s="91">
        <f t="shared" ref="BG26:BG27" si="617">(BK26-BA26)/(BK$4-BA$4)+BF26</f>
        <v>8.7999999999999995E-2</v>
      </c>
      <c r="BH26" s="91">
        <f t="shared" ref="BH26:BH27" si="618">(BK26-BA26)/(BK$4-BA$4)+BG26</f>
        <v>8.5999999999999993E-2</v>
      </c>
      <c r="BI26" s="91">
        <f t="shared" ref="BI26:BI27" si="619">(BK26-BA26)/(BK$4-BA$4)+BH26</f>
        <v>8.3999999999999991E-2</v>
      </c>
      <c r="BJ26" s="91">
        <f t="shared" ref="BJ26:BJ27" si="620">(BK26-BA26)/(BK$4-BA$4)+BI26</f>
        <v>8.199999999999999E-2</v>
      </c>
      <c r="BK26" s="91">
        <f t="shared" ref="BK26:BK27" si="621">AN26</f>
        <v>0.08</v>
      </c>
      <c r="BL26" s="91">
        <f>(BN26-BK26)/(BN$4-BK$4)+BK26</f>
        <v>0.08</v>
      </c>
      <c r="BM26" s="91">
        <f t="shared" ref="BM26:BM27" si="622">(BK26+BN26)/2</f>
        <v>0.08</v>
      </c>
      <c r="BN26" s="91">
        <f>AO26</f>
        <v>0.08</v>
      </c>
      <c r="BP26" s="17">
        <f ca="1">K26*K28</f>
        <v>1008</v>
      </c>
      <c r="BQ26" s="17">
        <f t="shared" ref="BQ26" ca="1" si="623">L26*L28</f>
        <v>1237.788</v>
      </c>
      <c r="BR26" s="17">
        <f t="shared" ref="BR26" ca="1" si="624">M26*M28</f>
        <v>1292.69</v>
      </c>
      <c r="BS26" s="17">
        <f t="shared" ref="BS26" ca="1" si="625">N26*N28</f>
        <v>1346.5920000000001</v>
      </c>
      <c r="BT26" s="17">
        <f t="shared" ref="BT26" ca="1" si="626">O26*O28</f>
        <v>1401.366</v>
      </c>
      <c r="BU26" s="17">
        <f t="shared" ref="BU26" ca="1" si="627">P26*P28</f>
        <v>1455.14</v>
      </c>
      <c r="BV26" s="17">
        <f t="shared" ref="BV26" ca="1" si="628">Q26*Q28</f>
        <v>1518.0395999999998</v>
      </c>
      <c r="BW26" s="17">
        <f t="shared" ref="BW26" ca="1" si="629">R26*R28</f>
        <v>1583.59131</v>
      </c>
      <c r="BX26" s="17">
        <f t="shared" ref="BX26" ca="1" si="630">S26*S28</f>
        <v>1651.9030920000002</v>
      </c>
      <c r="BY26" s="17">
        <f t="shared" ref="BY26" ca="1" si="631">T26*T28</f>
        <v>1723.0870739250001</v>
      </c>
      <c r="BZ26" s="17">
        <f t="shared" ref="BZ26" ca="1" si="632">U26*U28</f>
        <v>1797.2596963125004</v>
      </c>
      <c r="CA26" s="17">
        <f t="shared" ref="CA26" ca="1" si="633">V26*V28</f>
        <v>1887.1226811281254</v>
      </c>
      <c r="CB26" s="17">
        <f t="shared" ref="CB26" ca="1" si="634">W26*W28</f>
        <v>1981.4788151845319</v>
      </c>
      <c r="CC26" s="17">
        <f t="shared" ref="CC26" ca="1" si="635">X26*X28</f>
        <v>2080.5527559437583</v>
      </c>
      <c r="CD26" s="17">
        <f t="shared" ref="CD26" ca="1" si="636">Y26*Y28</f>
        <v>2184.5803937409464</v>
      </c>
      <c r="CE26" s="17">
        <f t="shared" ref="CE26" ca="1" si="637">Z26*Z28</f>
        <v>2293.8094134279936</v>
      </c>
      <c r="CF26" s="17">
        <f t="shared" ref="CF26" ca="1" si="638">AA26*AA28</f>
        <v>2408.4998840993935</v>
      </c>
      <c r="CG26" s="17">
        <f t="shared" ref="CG26" ca="1" si="639">AB26*AB28</f>
        <v>2528.9248783043636</v>
      </c>
      <c r="CH26" s="17">
        <f t="shared" ref="CH26" ca="1" si="640">AC26*AC28</f>
        <v>2655.371122219582</v>
      </c>
      <c r="CI26" s="17">
        <f t="shared" ref="CI26" ca="1" si="641">AD26*AD28</f>
        <v>2788.1396783305613</v>
      </c>
      <c r="CJ26" s="17">
        <f t="shared" ref="CJ26" ca="1" si="642">AE26*AE28</f>
        <v>2927.546662247089</v>
      </c>
      <c r="CK26" s="17">
        <f t="shared" ref="CK26" ca="1" si="643">AF26*AF28</f>
        <v>3073.9239953594433</v>
      </c>
      <c r="CL26" s="17">
        <f t="shared" ref="CL26" ca="1" si="644">AG26*AG28</f>
        <v>4768.6650277745166</v>
      </c>
      <c r="CM26" s="17">
        <f t="shared" ref="CM26" ca="1" si="645">AH26*AH28</f>
        <v>7767.6528406434081</v>
      </c>
      <c r="CN26" s="95" t="str">
        <f t="shared" ca="1" si="557"/>
        <v xml:space="preserve">87.5 108.7 115 121.2 127.7 134.1 141.6 149.4 157.6 166.3 175.4 184.6 194.3 204.4 215.1 226.4 238.2 250.7 263.8 277.6 292.1 306.7 475.8 775 </v>
      </c>
      <c r="CO26" s="96">
        <f ca="1">ROUND(BP26*(1-AQ26)*(1-$AK26)/8.76*(1+CO$2),1)</f>
        <v>87.5</v>
      </c>
      <c r="CP26" s="96">
        <f t="shared" ca="1" si="558"/>
        <v>108.7</v>
      </c>
      <c r="CQ26" s="96">
        <f t="shared" ca="1" si="559"/>
        <v>115</v>
      </c>
      <c r="CR26" s="96">
        <f t="shared" ca="1" si="560"/>
        <v>121.2</v>
      </c>
      <c r="CS26" s="96">
        <f t="shared" ca="1" si="561"/>
        <v>127.7</v>
      </c>
      <c r="CT26" s="96">
        <f t="shared" ca="1" si="562"/>
        <v>134.1</v>
      </c>
      <c r="CU26" s="96">
        <f t="shared" ca="1" si="563"/>
        <v>141.6</v>
      </c>
      <c r="CV26" s="96">
        <f t="shared" ca="1" si="564"/>
        <v>149.4</v>
      </c>
      <c r="CW26" s="96">
        <f t="shared" ca="1" si="565"/>
        <v>157.6</v>
      </c>
      <c r="CX26" s="96">
        <f t="shared" ca="1" si="566"/>
        <v>166.3</v>
      </c>
      <c r="CY26" s="96">
        <f t="shared" ca="1" si="567"/>
        <v>175.4</v>
      </c>
      <c r="CZ26" s="96">
        <f t="shared" ca="1" si="568"/>
        <v>184.6</v>
      </c>
      <c r="DA26" s="96">
        <f t="shared" ca="1" si="569"/>
        <v>194.3</v>
      </c>
      <c r="DB26" s="96">
        <f t="shared" ca="1" si="570"/>
        <v>204.4</v>
      </c>
      <c r="DC26" s="96">
        <f t="shared" ca="1" si="571"/>
        <v>215.1</v>
      </c>
      <c r="DD26" s="96">
        <f t="shared" ca="1" si="572"/>
        <v>226.4</v>
      </c>
      <c r="DE26" s="96">
        <f t="shared" ca="1" si="573"/>
        <v>238.2</v>
      </c>
      <c r="DF26" s="96">
        <f t="shared" ca="1" si="574"/>
        <v>250.7</v>
      </c>
      <c r="DG26" s="96">
        <f t="shared" ca="1" si="575"/>
        <v>263.8</v>
      </c>
      <c r="DH26" s="96">
        <f t="shared" ca="1" si="576"/>
        <v>277.60000000000002</v>
      </c>
      <c r="DI26" s="96">
        <f t="shared" ca="1" si="577"/>
        <v>292.10000000000002</v>
      </c>
      <c r="DJ26" s="96">
        <f t="shared" ca="1" si="578"/>
        <v>306.7</v>
      </c>
      <c r="DK26" s="96">
        <f t="shared" ca="1" si="579"/>
        <v>475.8</v>
      </c>
      <c r="DL26" s="96">
        <f t="shared" ca="1" si="580"/>
        <v>775</v>
      </c>
      <c r="DM26" s="95" t="str">
        <f t="shared" si="581"/>
        <v xml:space="preserve">0.8 0.81 0.82 0.83 0.84 0.85 0.86 0.87 0.88 0.89 0.9 0.902 0.904 0.906 0.908 0.91 0.912 0.914 0.916 0.918 0.92 0.92 0.92 0.92 </v>
      </c>
      <c r="DN26" s="91">
        <f t="shared" ref="DN26:DN27" si="646">1-AQ26</f>
        <v>0.8</v>
      </c>
      <c r="DO26" s="91">
        <f t="shared" si="582"/>
        <v>0.81</v>
      </c>
      <c r="DP26" s="91">
        <f t="shared" si="582"/>
        <v>0.82000000000000006</v>
      </c>
      <c r="DQ26" s="91">
        <f t="shared" si="582"/>
        <v>0.83000000000000007</v>
      </c>
      <c r="DR26" s="91">
        <f t="shared" si="582"/>
        <v>0.84000000000000008</v>
      </c>
      <c r="DS26" s="91">
        <f t="shared" si="582"/>
        <v>0.85000000000000009</v>
      </c>
      <c r="DT26" s="91">
        <f t="shared" si="582"/>
        <v>0.8600000000000001</v>
      </c>
      <c r="DU26" s="91">
        <f t="shared" si="582"/>
        <v>0.87000000000000011</v>
      </c>
      <c r="DV26" s="91">
        <f t="shared" si="582"/>
        <v>0.88</v>
      </c>
      <c r="DW26" s="91">
        <f t="shared" si="582"/>
        <v>0.89</v>
      </c>
      <c r="DX26" s="91">
        <f t="shared" si="582"/>
        <v>0.9</v>
      </c>
      <c r="DY26" s="91">
        <f t="shared" si="582"/>
        <v>0.90200000000000002</v>
      </c>
      <c r="DZ26" s="91">
        <f t="shared" si="582"/>
        <v>0.90400000000000003</v>
      </c>
      <c r="EA26" s="91">
        <f t="shared" si="582"/>
        <v>0.90600000000000003</v>
      </c>
      <c r="EB26" s="91">
        <f t="shared" si="582"/>
        <v>0.90800000000000003</v>
      </c>
      <c r="EC26" s="91">
        <f t="shared" si="582"/>
        <v>0.91</v>
      </c>
      <c r="ED26" s="91">
        <f t="shared" si="582"/>
        <v>0.91200000000000003</v>
      </c>
      <c r="EE26" s="91">
        <f t="shared" si="583"/>
        <v>0.91400000000000003</v>
      </c>
      <c r="EF26" s="91">
        <f t="shared" si="583"/>
        <v>0.91600000000000004</v>
      </c>
      <c r="EG26" s="91">
        <f t="shared" si="583"/>
        <v>0.91800000000000004</v>
      </c>
      <c r="EH26" s="91">
        <f t="shared" si="583"/>
        <v>0.92</v>
      </c>
      <c r="EI26" s="91">
        <f t="shared" si="583"/>
        <v>0.92</v>
      </c>
      <c r="EJ26" s="91">
        <f t="shared" si="583"/>
        <v>0.92</v>
      </c>
      <c r="EK26" s="91">
        <f t="shared" si="583"/>
        <v>0.92</v>
      </c>
    </row>
    <row r="27" spans="1:141" x14ac:dyDescent="0.25">
      <c r="A27" t="str">
        <f t="shared" si="17"/>
        <v>RuralMAL</v>
      </c>
      <c r="B27" t="str">
        <f t="shared" si="531"/>
        <v>Rural</v>
      </c>
      <c r="C27" t="str">
        <f>IFERROR(VLOOKUP(D27,PoolPlan_EnergyProj!$C$89:$D$100,2,FALSE),C26)</f>
        <v>MAL</v>
      </c>
      <c r="D27" t="s">
        <v>150</v>
      </c>
      <c r="E27" s="91">
        <v>0.02</v>
      </c>
      <c r="F27" s="91">
        <v>0.03</v>
      </c>
      <c r="G27" s="91">
        <v>0.05</v>
      </c>
      <c r="H27" s="91">
        <v>0.05</v>
      </c>
      <c r="I27" s="91">
        <v>0.05</v>
      </c>
      <c r="K27" s="91">
        <f t="shared" si="585"/>
        <v>0.02</v>
      </c>
      <c r="L27" s="91">
        <f t="shared" si="586"/>
        <v>2.1999999999999999E-2</v>
      </c>
      <c r="M27" s="91">
        <f t="shared" si="586"/>
        <v>2.3999999999999997E-2</v>
      </c>
      <c r="N27" s="91">
        <f t="shared" si="586"/>
        <v>2.5999999999999995E-2</v>
      </c>
      <c r="O27" s="91">
        <f t="shared" si="586"/>
        <v>2.7999999999999994E-2</v>
      </c>
      <c r="P27" s="91">
        <f t="shared" si="587"/>
        <v>0.03</v>
      </c>
      <c r="Q27" s="91">
        <f t="shared" si="588"/>
        <v>3.4000000000000002E-2</v>
      </c>
      <c r="R27" s="91">
        <f t="shared" si="588"/>
        <v>3.8000000000000006E-2</v>
      </c>
      <c r="S27" s="91">
        <f t="shared" si="588"/>
        <v>4.200000000000001E-2</v>
      </c>
      <c r="T27" s="91">
        <f t="shared" si="588"/>
        <v>4.6000000000000013E-2</v>
      </c>
      <c r="U27" s="91">
        <f t="shared" si="589"/>
        <v>0.05</v>
      </c>
      <c r="V27" s="91">
        <f t="shared" si="590"/>
        <v>0.05</v>
      </c>
      <c r="W27" s="91">
        <f t="shared" si="591"/>
        <v>0.05</v>
      </c>
      <c r="X27" s="91">
        <f t="shared" si="592"/>
        <v>0.05</v>
      </c>
      <c r="Y27" s="91">
        <f t="shared" si="593"/>
        <v>0.05</v>
      </c>
      <c r="Z27" s="91">
        <f t="shared" si="594"/>
        <v>0.05</v>
      </c>
      <c r="AA27" s="91">
        <f t="shared" si="595"/>
        <v>0.05</v>
      </c>
      <c r="AB27" s="91">
        <f t="shared" si="596"/>
        <v>0.05</v>
      </c>
      <c r="AC27" s="91">
        <f t="shared" si="597"/>
        <v>0.05</v>
      </c>
      <c r="AD27" s="91">
        <f t="shared" si="598"/>
        <v>0.05</v>
      </c>
      <c r="AE27" s="91">
        <f t="shared" si="599"/>
        <v>0.05</v>
      </c>
      <c r="AF27" s="91">
        <f>(AH27-AE27)/(AH$4-AE$4)+AE27</f>
        <v>0.05</v>
      </c>
      <c r="AG27" s="91">
        <f t="shared" si="600"/>
        <v>0.05</v>
      </c>
      <c r="AH27" s="91">
        <f>I27</f>
        <v>0.05</v>
      </c>
      <c r="AJ27" s="98">
        <f>1-((1-AL27)*K27+(1-AL26)*K26+(1-AL25)*K25)*(1-AK25)</f>
        <v>0.18205000000000005</v>
      </c>
      <c r="AK27" s="91">
        <f>AK26</f>
        <v>0.05</v>
      </c>
      <c r="AL27" s="91">
        <v>0.3</v>
      </c>
      <c r="AM27" s="91">
        <v>0.2</v>
      </c>
      <c r="AN27" s="91">
        <v>0.2</v>
      </c>
      <c r="AO27" s="91">
        <f>AN27</f>
        <v>0.2</v>
      </c>
      <c r="AP27" s="95" t="str">
        <f>AQ27&amp;" "&amp;AR27&amp;" "&amp;AS27&amp;" "&amp;AT27&amp;" "&amp;AU27&amp;" "&amp;AV27&amp;" "&amp;AW27&amp;" "&amp;AX27&amp;" "&amp;AY27&amp;" "&amp;AZ27&amp;" "&amp;BA27&amp;" "&amp;BB27&amp;" "&amp;BC27&amp;" "&amp;BD27&amp;" "&amp;BE27&amp;" "&amp;BF27&amp;" "&amp;BG27&amp;" "&amp;BH27&amp;" "&amp;BI27&amp;" "&amp;BJ27&amp;" "&amp;BK27&amp;" "&amp;BL27&amp;" "&amp;BM27&amp;" "&amp;BN27&amp;" "</f>
        <v xml:space="preserve">0.3 0.29 0.28 0.27 0.26 0.25 0.24 0.23 0.22 0.21 0.2 0.2 0.2 0.2 0.2 0.2 0.2 0.2 0.2 0.2 0.2 0.2 0.2 0.2 </v>
      </c>
      <c r="AQ27" s="91">
        <f t="shared" si="601"/>
        <v>0.3</v>
      </c>
      <c r="AR27" s="91">
        <f t="shared" si="602"/>
        <v>0.28999999999999998</v>
      </c>
      <c r="AS27" s="91">
        <f t="shared" si="603"/>
        <v>0.27999999999999997</v>
      </c>
      <c r="AT27" s="91">
        <f t="shared" si="604"/>
        <v>0.26999999999999996</v>
      </c>
      <c r="AU27" s="91">
        <f t="shared" si="605"/>
        <v>0.25999999999999995</v>
      </c>
      <c r="AV27" s="91">
        <f t="shared" si="606"/>
        <v>0.24999999999999994</v>
      </c>
      <c r="AW27" s="91">
        <f t="shared" si="607"/>
        <v>0.23999999999999994</v>
      </c>
      <c r="AX27" s="91">
        <f t="shared" si="608"/>
        <v>0.22999999999999993</v>
      </c>
      <c r="AY27" s="91">
        <f t="shared" si="609"/>
        <v>0.21999999999999992</v>
      </c>
      <c r="AZ27" s="91">
        <f t="shared" si="610"/>
        <v>0.20999999999999991</v>
      </c>
      <c r="BA27" s="91">
        <f t="shared" si="611"/>
        <v>0.2</v>
      </c>
      <c r="BB27" s="91">
        <f t="shared" si="612"/>
        <v>0.2</v>
      </c>
      <c r="BC27" s="91">
        <f t="shared" si="613"/>
        <v>0.2</v>
      </c>
      <c r="BD27" s="91">
        <f t="shared" si="614"/>
        <v>0.2</v>
      </c>
      <c r="BE27" s="91">
        <f t="shared" si="615"/>
        <v>0.2</v>
      </c>
      <c r="BF27" s="91">
        <f t="shared" si="616"/>
        <v>0.2</v>
      </c>
      <c r="BG27" s="91">
        <f t="shared" si="617"/>
        <v>0.2</v>
      </c>
      <c r="BH27" s="91">
        <f t="shared" si="618"/>
        <v>0.2</v>
      </c>
      <c r="BI27" s="91">
        <f t="shared" si="619"/>
        <v>0.2</v>
      </c>
      <c r="BJ27" s="91">
        <f t="shared" si="620"/>
        <v>0.2</v>
      </c>
      <c r="BK27" s="91">
        <f t="shared" si="621"/>
        <v>0.2</v>
      </c>
      <c r="BL27" s="91">
        <f>(BN27-BK27)/(BN$4-BK$4)+BK27</f>
        <v>0.2</v>
      </c>
      <c r="BM27" s="91">
        <f t="shared" si="622"/>
        <v>0.2</v>
      </c>
      <c r="BN27" s="91">
        <f>AO27</f>
        <v>0.2</v>
      </c>
      <c r="BP27" s="17">
        <f ca="1">K27*K28</f>
        <v>32</v>
      </c>
      <c r="BQ27" s="17">
        <f t="shared" ref="BQ27" ca="1" si="647">L27*L28</f>
        <v>43.361999999999995</v>
      </c>
      <c r="BR27" s="17">
        <f t="shared" ref="BR27" ca="1" si="648">M27*M28</f>
        <v>49.559999999999995</v>
      </c>
      <c r="BS27" s="17">
        <f t="shared" ref="BS27" ca="1" si="649">N27*N28</f>
        <v>56.10799999999999</v>
      </c>
      <c r="BT27" s="17">
        <f t="shared" ref="BT27" ca="1" si="650">O27*O28</f>
        <v>63.083999999999989</v>
      </c>
      <c r="BU27" s="17">
        <f t="shared" ref="BU27" ca="1" si="651">P27*P28</f>
        <v>70.41</v>
      </c>
      <c r="BV27" s="17">
        <f t="shared" ref="BV27" ca="1" si="652">Q27*Q28</f>
        <v>83.787900000000008</v>
      </c>
      <c r="BW27" s="17">
        <f t="shared" ref="BW27" ca="1" si="653">R27*R28</f>
        <v>98.327565000000021</v>
      </c>
      <c r="BX27" s="17">
        <f t="shared" ref="BX27" ca="1" si="654">S27*S28</f>
        <v>114.11172675000005</v>
      </c>
      <c r="BY27" s="17">
        <f t="shared" ref="BY27" ca="1" si="655">T27*T28</f>
        <v>131.22848576250004</v>
      </c>
      <c r="BZ27" s="17">
        <f t="shared" ref="BZ27" ca="1" si="656">U27*U28</f>
        <v>149.77164135937502</v>
      </c>
      <c r="CA27" s="17">
        <f t="shared" ref="CA27" ca="1" si="657">V27*V28</f>
        <v>157.26022342734382</v>
      </c>
      <c r="CB27" s="17">
        <f t="shared" ref="CB27" ca="1" si="658">W27*W28</f>
        <v>165.12323459871101</v>
      </c>
      <c r="CC27" s="17">
        <f t="shared" ref="CC27" ca="1" si="659">X27*X28</f>
        <v>173.37939632864655</v>
      </c>
      <c r="CD27" s="17">
        <f t="shared" ref="CD27" ca="1" si="660">Y27*Y28</f>
        <v>182.04836614507889</v>
      </c>
      <c r="CE27" s="17">
        <f t="shared" ref="CE27" ca="1" si="661">Z27*Z28</f>
        <v>191.15078445233283</v>
      </c>
      <c r="CF27" s="17">
        <f t="shared" ref="CF27" ca="1" si="662">AA27*AA28</f>
        <v>200.7083236749495</v>
      </c>
      <c r="CG27" s="17">
        <f t="shared" ref="CG27" ca="1" si="663">AB27*AB28</f>
        <v>210.74373985869698</v>
      </c>
      <c r="CH27" s="17">
        <f t="shared" ref="CH27" ca="1" si="664">AC27*AC28</f>
        <v>221.28092685163185</v>
      </c>
      <c r="CI27" s="17">
        <f t="shared" ref="CI27" ca="1" si="665">AD27*AD28</f>
        <v>232.34497319421345</v>
      </c>
      <c r="CJ27" s="17">
        <f t="shared" ref="CJ27" ca="1" si="666">AE27*AE28</f>
        <v>243.96222185392409</v>
      </c>
      <c r="CK27" s="17">
        <f t="shared" ref="CK27" ca="1" si="667">AF27*AF28</f>
        <v>256.16033294662031</v>
      </c>
      <c r="CL27" s="17">
        <f t="shared" ref="CL27" ca="1" si="668">AG27*AG28</f>
        <v>397.38875231454307</v>
      </c>
      <c r="CM27" s="17">
        <f t="shared" ref="CM27" ca="1" si="669">AH27*AH28</f>
        <v>647.30440338695075</v>
      </c>
      <c r="CN27" s="95" t="str">
        <f t="shared" ca="1" si="557"/>
        <v xml:space="preserve">2.4 3.3 3.9 4.4 5.1 5.7 6.9 8.2 9.7 11.2 13 13.6 14.3 15 15.8 16.6 17.4 18.3 19.2 20.2 21.2 22.2 34.5 56.2 </v>
      </c>
      <c r="CO27" s="96">
        <f ca="1">ROUND(BP27*(1-AQ27)*(1-$AK27)/8.76*(1+CO$2),1)</f>
        <v>2.4</v>
      </c>
      <c r="CP27" s="96">
        <f t="shared" ca="1" si="558"/>
        <v>3.3</v>
      </c>
      <c r="CQ27" s="96">
        <f t="shared" ca="1" si="559"/>
        <v>3.9</v>
      </c>
      <c r="CR27" s="96">
        <f t="shared" ca="1" si="560"/>
        <v>4.4000000000000004</v>
      </c>
      <c r="CS27" s="96">
        <f t="shared" ca="1" si="561"/>
        <v>5.0999999999999996</v>
      </c>
      <c r="CT27" s="96">
        <f t="shared" ca="1" si="562"/>
        <v>5.7</v>
      </c>
      <c r="CU27" s="96">
        <f t="shared" ca="1" si="563"/>
        <v>6.9</v>
      </c>
      <c r="CV27" s="96">
        <f t="shared" ca="1" si="564"/>
        <v>8.1999999999999993</v>
      </c>
      <c r="CW27" s="96">
        <f t="shared" ca="1" si="565"/>
        <v>9.6999999999999993</v>
      </c>
      <c r="CX27" s="96">
        <f t="shared" ca="1" si="566"/>
        <v>11.2</v>
      </c>
      <c r="CY27" s="96">
        <f t="shared" ca="1" si="567"/>
        <v>13</v>
      </c>
      <c r="CZ27" s="96">
        <f t="shared" ca="1" si="568"/>
        <v>13.6</v>
      </c>
      <c r="DA27" s="96">
        <f t="shared" ca="1" si="569"/>
        <v>14.3</v>
      </c>
      <c r="DB27" s="96">
        <f t="shared" ca="1" si="570"/>
        <v>15</v>
      </c>
      <c r="DC27" s="96">
        <f t="shared" ca="1" si="571"/>
        <v>15.8</v>
      </c>
      <c r="DD27" s="96">
        <f t="shared" ca="1" si="572"/>
        <v>16.600000000000001</v>
      </c>
      <c r="DE27" s="96">
        <f t="shared" ca="1" si="573"/>
        <v>17.399999999999999</v>
      </c>
      <c r="DF27" s="96">
        <f t="shared" ca="1" si="574"/>
        <v>18.3</v>
      </c>
      <c r="DG27" s="96">
        <f t="shared" ca="1" si="575"/>
        <v>19.2</v>
      </c>
      <c r="DH27" s="96">
        <f t="shared" ca="1" si="576"/>
        <v>20.2</v>
      </c>
      <c r="DI27" s="96">
        <f t="shared" ca="1" si="577"/>
        <v>21.2</v>
      </c>
      <c r="DJ27" s="96">
        <f t="shared" ca="1" si="578"/>
        <v>22.2</v>
      </c>
      <c r="DK27" s="96">
        <f t="shared" ca="1" si="579"/>
        <v>34.5</v>
      </c>
      <c r="DL27" s="96">
        <f t="shared" ca="1" si="580"/>
        <v>56.2</v>
      </c>
      <c r="DM27" s="95" t="str">
        <f t="shared" si="581"/>
        <v xml:space="preserve">0.7 0.71 0.72 0.73 0.74 0.75 0.76 0.77 0.78 0.79 0.8 0.8 0.8 0.8 0.8 0.8 0.8 0.8 0.8 0.8 0.8 0.8 0.8 0.8 </v>
      </c>
      <c r="DN27" s="91">
        <f t="shared" si="646"/>
        <v>0.7</v>
      </c>
      <c r="DO27" s="91">
        <f t="shared" si="582"/>
        <v>0.71</v>
      </c>
      <c r="DP27" s="91">
        <f t="shared" si="582"/>
        <v>0.72</v>
      </c>
      <c r="DQ27" s="91">
        <f t="shared" si="582"/>
        <v>0.73</v>
      </c>
      <c r="DR27" s="91">
        <f t="shared" si="582"/>
        <v>0.74</v>
      </c>
      <c r="DS27" s="91">
        <f t="shared" si="582"/>
        <v>0.75</v>
      </c>
      <c r="DT27" s="91">
        <f t="shared" si="582"/>
        <v>0.76</v>
      </c>
      <c r="DU27" s="91">
        <f t="shared" si="582"/>
        <v>0.77</v>
      </c>
      <c r="DV27" s="91">
        <f t="shared" si="582"/>
        <v>0.78</v>
      </c>
      <c r="DW27" s="91">
        <f t="shared" si="582"/>
        <v>0.79</v>
      </c>
      <c r="DX27" s="91">
        <f t="shared" si="582"/>
        <v>0.8</v>
      </c>
      <c r="DY27" s="91">
        <f t="shared" si="582"/>
        <v>0.8</v>
      </c>
      <c r="DZ27" s="91">
        <f t="shared" si="582"/>
        <v>0.8</v>
      </c>
      <c r="EA27" s="91">
        <f t="shared" si="582"/>
        <v>0.8</v>
      </c>
      <c r="EB27" s="91">
        <f t="shared" si="582"/>
        <v>0.8</v>
      </c>
      <c r="EC27" s="91">
        <f t="shared" si="582"/>
        <v>0.8</v>
      </c>
      <c r="ED27" s="91">
        <f t="shared" si="582"/>
        <v>0.8</v>
      </c>
      <c r="EE27" s="91">
        <f t="shared" si="583"/>
        <v>0.8</v>
      </c>
      <c r="EF27" s="91">
        <f t="shared" si="583"/>
        <v>0.8</v>
      </c>
      <c r="EG27" s="91">
        <f t="shared" si="583"/>
        <v>0.8</v>
      </c>
      <c r="EH27" s="91">
        <f t="shared" si="583"/>
        <v>0.8</v>
      </c>
      <c r="EI27" s="91">
        <f t="shared" si="583"/>
        <v>0.8</v>
      </c>
      <c r="EJ27" s="91">
        <f t="shared" si="583"/>
        <v>0.8</v>
      </c>
      <c r="EK27" s="91">
        <f t="shared" si="583"/>
        <v>0.8</v>
      </c>
    </row>
    <row r="28" spans="1:141" x14ac:dyDescent="0.25">
      <c r="A28" t="str">
        <f t="shared" si="17"/>
        <v>MAL</v>
      </c>
      <c r="C28" t="str">
        <f>IFERROR(VLOOKUP(D28,PoolPlan_EnergyProj!$C$89:$D$100,2,FALSE),C27)</f>
        <v>MAL</v>
      </c>
      <c r="D28" t="s">
        <v>151</v>
      </c>
      <c r="K28" s="17">
        <f ca="1">OFFSET(PoolPlan_EnergyProj!$B$6,MATCH(K24,PoolPlan_EnergyProj!$B$7:$B$30),MATCH($C28,PoolPlan_EnergyProj!$C$1:$N$1,0))</f>
        <v>1600</v>
      </c>
      <c r="L28" s="17">
        <f ca="1">OFFSET(PoolPlan_EnergyProj!$B$6,MATCH(L24,PoolPlan_EnergyProj!$B$7:$B$30),MATCH($C28,PoolPlan_EnergyProj!$C$1:$N$1,0))</f>
        <v>1971</v>
      </c>
      <c r="M28" s="17">
        <f ca="1">OFFSET(PoolPlan_EnergyProj!$B$6,MATCH(M24,PoolPlan_EnergyProj!$B$7:$B$30),MATCH($C28,PoolPlan_EnergyProj!$C$1:$N$1,0))</f>
        <v>2065</v>
      </c>
      <c r="N28" s="17">
        <f ca="1">OFFSET(PoolPlan_EnergyProj!$B$6,MATCH(N24,PoolPlan_EnergyProj!$B$7:$B$30),MATCH($C28,PoolPlan_EnergyProj!$C$1:$N$1,0))</f>
        <v>2158</v>
      </c>
      <c r="O28" s="17">
        <f ca="1">OFFSET(PoolPlan_EnergyProj!$B$6,MATCH(O24,PoolPlan_EnergyProj!$B$7:$B$30),MATCH($C28,PoolPlan_EnergyProj!$C$1:$N$1,0))</f>
        <v>2253</v>
      </c>
      <c r="P28" s="17">
        <f ca="1">OFFSET(PoolPlan_EnergyProj!$B$6,MATCH(P24,PoolPlan_EnergyProj!$B$7:$B$30),MATCH($C28,PoolPlan_EnergyProj!$C$1:$N$1,0))</f>
        <v>2347</v>
      </c>
      <c r="Q28" s="17">
        <f ca="1">OFFSET(PoolPlan_EnergyProj!$B$6,MATCH(Q24,PoolPlan_EnergyProj!$B$7:$B$30),MATCH($C28,PoolPlan_EnergyProj!$C$1:$N$1,0))</f>
        <v>2464.35</v>
      </c>
      <c r="R28" s="17">
        <f ca="1">OFFSET(PoolPlan_EnergyProj!$B$6,MATCH(R24,PoolPlan_EnergyProj!$B$7:$B$30),MATCH($C28,PoolPlan_EnergyProj!$C$1:$N$1,0))</f>
        <v>2587.5675000000001</v>
      </c>
      <c r="S28" s="17">
        <f ca="1">OFFSET(PoolPlan_EnergyProj!$B$6,MATCH(S24,PoolPlan_EnergyProj!$B$7:$B$30),MATCH($C28,PoolPlan_EnergyProj!$C$1:$N$1,0))</f>
        <v>2716.9458750000003</v>
      </c>
      <c r="T28" s="17">
        <f ca="1">OFFSET(PoolPlan_EnergyProj!$B$6,MATCH(T24,PoolPlan_EnergyProj!$B$7:$B$30),MATCH($C28,PoolPlan_EnergyProj!$C$1:$N$1,0))</f>
        <v>2852.7931687500004</v>
      </c>
      <c r="U28" s="17">
        <f ca="1">OFFSET(PoolPlan_EnergyProj!$B$6,MATCH(U24,PoolPlan_EnergyProj!$B$7:$B$30),MATCH($C28,PoolPlan_EnergyProj!$C$1:$N$1,0))</f>
        <v>2995.4328271875006</v>
      </c>
      <c r="V28" s="17">
        <f ca="1">OFFSET(PoolPlan_EnergyProj!$B$6,MATCH(V24,PoolPlan_EnergyProj!$B$7:$B$30),MATCH($C28,PoolPlan_EnergyProj!$C$1:$N$1,0))</f>
        <v>3145.2044685468759</v>
      </c>
      <c r="W28" s="17">
        <f ca="1">OFFSET(PoolPlan_EnergyProj!$B$6,MATCH(W24,PoolPlan_EnergyProj!$B$7:$B$30),MATCH($C28,PoolPlan_EnergyProj!$C$1:$N$1,0))</f>
        <v>3302.4646919742199</v>
      </c>
      <c r="X28" s="17">
        <f ca="1">OFFSET(PoolPlan_EnergyProj!$B$6,MATCH(X24,PoolPlan_EnergyProj!$B$7:$B$30),MATCH($C28,PoolPlan_EnergyProj!$C$1:$N$1,0))</f>
        <v>3467.5879265729309</v>
      </c>
      <c r="Y28" s="17">
        <f ca="1">OFFSET(PoolPlan_EnergyProj!$B$6,MATCH(Y24,PoolPlan_EnergyProj!$B$7:$B$30),MATCH($C28,PoolPlan_EnergyProj!$C$1:$N$1,0))</f>
        <v>3640.9673229015775</v>
      </c>
      <c r="Z28" s="17">
        <f ca="1">OFFSET(PoolPlan_EnergyProj!$B$6,MATCH(Z24,PoolPlan_EnergyProj!$B$7:$B$30),MATCH($C28,PoolPlan_EnergyProj!$C$1:$N$1,0))</f>
        <v>3823.0156890466565</v>
      </c>
      <c r="AA28" s="17">
        <f ca="1">OFFSET(PoolPlan_EnergyProj!$B$6,MATCH(AA24,PoolPlan_EnergyProj!$B$7:$B$30),MATCH($C28,PoolPlan_EnergyProj!$C$1:$N$1,0))</f>
        <v>4014.1664734989895</v>
      </c>
      <c r="AB28" s="17">
        <f ca="1">OFFSET(PoolPlan_EnergyProj!$B$6,MATCH(AB24,PoolPlan_EnergyProj!$B$7:$B$30),MATCH($C28,PoolPlan_EnergyProj!$C$1:$N$1,0))</f>
        <v>4214.8747971739394</v>
      </c>
      <c r="AC28" s="17">
        <f ca="1">OFFSET(PoolPlan_EnergyProj!$B$6,MATCH(AC24,PoolPlan_EnergyProj!$B$7:$B$30),MATCH($C28,PoolPlan_EnergyProj!$C$1:$N$1,0))</f>
        <v>4425.6185370326366</v>
      </c>
      <c r="AD28" s="17">
        <f ca="1">OFFSET(PoolPlan_EnergyProj!$B$6,MATCH(AD24,PoolPlan_EnergyProj!$B$7:$B$30),MATCH($C28,PoolPlan_EnergyProj!$C$1:$N$1,0))</f>
        <v>4646.8994638842687</v>
      </c>
      <c r="AE28" s="17">
        <f ca="1">OFFSET(PoolPlan_EnergyProj!$B$6,MATCH(AE24,PoolPlan_EnergyProj!$B$7:$B$30),MATCH($C28,PoolPlan_EnergyProj!$C$1:$N$1,0))</f>
        <v>4879.2444370784815</v>
      </c>
      <c r="AF28" s="17">
        <f ca="1">OFFSET(PoolPlan_EnergyProj!$B$6,MATCH(AF24,PoolPlan_EnergyProj!$B$7:$B$30),MATCH($C28,PoolPlan_EnergyProj!$C$1:$N$1,0))</f>
        <v>5123.2066589324058</v>
      </c>
      <c r="AG28" s="17">
        <f ca="1">OFFSET(PoolPlan_EnergyProj!$B$6,MATCH(AG24,PoolPlan_EnergyProj!$B$7:$B$30),MATCH($C28,PoolPlan_EnergyProj!$C$1:$N$1,0))</f>
        <v>7947.7750462908607</v>
      </c>
      <c r="AH28" s="17">
        <f ca="1">OFFSET(PoolPlan_EnergyProj!$B$6,MATCH(AH24,PoolPlan_EnergyProj!$B$7:$B$30),MATCH($C28,PoolPlan_EnergyProj!$C$1:$N$1,0))</f>
        <v>12946.088067739014</v>
      </c>
      <c r="BP28" s="17">
        <f ca="1">SUM(BP25:BP27)</f>
        <v>1600</v>
      </c>
      <c r="BQ28" s="17">
        <f t="shared" ref="BQ28:CM28" ca="1" si="670">SUM(BQ25:BQ27)</f>
        <v>1971</v>
      </c>
      <c r="BR28" s="17">
        <f t="shared" ca="1" si="670"/>
        <v>2065</v>
      </c>
      <c r="BS28" s="17">
        <f t="shared" ca="1" si="670"/>
        <v>2158</v>
      </c>
      <c r="BT28" s="17">
        <f t="shared" ca="1" si="670"/>
        <v>2253</v>
      </c>
      <c r="BU28" s="17">
        <f t="shared" ca="1" si="670"/>
        <v>2347</v>
      </c>
      <c r="BV28" s="17">
        <f t="shared" ca="1" si="670"/>
        <v>2464.3499999999995</v>
      </c>
      <c r="BW28" s="17">
        <f t="shared" ca="1" si="670"/>
        <v>2587.5675000000001</v>
      </c>
      <c r="BX28" s="17">
        <f t="shared" ca="1" si="670"/>
        <v>2716.9458750000003</v>
      </c>
      <c r="BY28" s="17">
        <f t="shared" ca="1" si="670"/>
        <v>2852.7931687500004</v>
      </c>
      <c r="BZ28" s="17">
        <f t="shared" ca="1" si="670"/>
        <v>2995.4328271875006</v>
      </c>
      <c r="CA28" s="17">
        <f t="shared" ca="1" si="670"/>
        <v>3145.2044685468754</v>
      </c>
      <c r="CB28" s="17">
        <f t="shared" ca="1" si="670"/>
        <v>3302.4646919742199</v>
      </c>
      <c r="CC28" s="17">
        <f t="shared" ca="1" si="670"/>
        <v>3467.5879265729304</v>
      </c>
      <c r="CD28" s="17">
        <f t="shared" ca="1" si="670"/>
        <v>3640.9673229015775</v>
      </c>
      <c r="CE28" s="17">
        <f t="shared" ca="1" si="670"/>
        <v>3823.015689046656</v>
      </c>
      <c r="CF28" s="17">
        <f t="shared" ca="1" si="670"/>
        <v>4014.166473498989</v>
      </c>
      <c r="CG28" s="17">
        <f t="shared" ca="1" si="670"/>
        <v>4214.8747971739394</v>
      </c>
      <c r="CH28" s="17">
        <f t="shared" ca="1" si="670"/>
        <v>4425.6185370326366</v>
      </c>
      <c r="CI28" s="17">
        <f t="shared" ca="1" si="670"/>
        <v>4646.8994638842687</v>
      </c>
      <c r="CJ28" s="17">
        <f t="shared" ca="1" si="670"/>
        <v>4879.2444370784815</v>
      </c>
      <c r="CK28" s="17">
        <f t="shared" ca="1" si="670"/>
        <v>5123.2066589324058</v>
      </c>
      <c r="CL28" s="17">
        <f t="shared" ca="1" si="670"/>
        <v>7947.7750462908607</v>
      </c>
      <c r="CM28" s="17">
        <f t="shared" ca="1" si="670"/>
        <v>12946.088067739014</v>
      </c>
    </row>
    <row r="29" spans="1:141" x14ac:dyDescent="0.25">
      <c r="A29" t="str">
        <f t="shared" si="17"/>
        <v>MOZ</v>
      </c>
      <c r="C29" t="str">
        <f>IFERROR(VLOOKUP(D29,PoolPlan_EnergyProj!$C$89:$D$100,2,FALSE),C28)</f>
        <v>MOZ</v>
      </c>
      <c r="D29" s="93" t="s">
        <v>18</v>
      </c>
      <c r="E29">
        <v>2010</v>
      </c>
      <c r="F29">
        <v>2015</v>
      </c>
      <c r="G29">
        <v>2020</v>
      </c>
      <c r="H29">
        <v>2030</v>
      </c>
      <c r="I29">
        <f>I24</f>
        <v>2050</v>
      </c>
      <c r="K29">
        <v>2010</v>
      </c>
      <c r="L29">
        <f>K29+1</f>
        <v>2011</v>
      </c>
      <c r="M29">
        <f t="shared" ref="M29:AF29" si="671">L29+1</f>
        <v>2012</v>
      </c>
      <c r="N29">
        <f t="shared" si="671"/>
        <v>2013</v>
      </c>
      <c r="O29">
        <f t="shared" si="671"/>
        <v>2014</v>
      </c>
      <c r="P29">
        <f t="shared" si="671"/>
        <v>2015</v>
      </c>
      <c r="Q29">
        <f t="shared" si="671"/>
        <v>2016</v>
      </c>
      <c r="R29">
        <f t="shared" si="671"/>
        <v>2017</v>
      </c>
      <c r="S29">
        <f t="shared" si="671"/>
        <v>2018</v>
      </c>
      <c r="T29">
        <f t="shared" si="671"/>
        <v>2019</v>
      </c>
      <c r="U29">
        <f t="shared" si="671"/>
        <v>2020</v>
      </c>
      <c r="V29">
        <f t="shared" si="671"/>
        <v>2021</v>
      </c>
      <c r="W29">
        <f t="shared" si="671"/>
        <v>2022</v>
      </c>
      <c r="X29">
        <f t="shared" si="671"/>
        <v>2023</v>
      </c>
      <c r="Y29">
        <f t="shared" si="671"/>
        <v>2024</v>
      </c>
      <c r="Z29">
        <f t="shared" si="671"/>
        <v>2025</v>
      </c>
      <c r="AA29">
        <f t="shared" si="671"/>
        <v>2026</v>
      </c>
      <c r="AB29">
        <f t="shared" si="671"/>
        <v>2027</v>
      </c>
      <c r="AC29">
        <f t="shared" si="671"/>
        <v>2028</v>
      </c>
      <c r="AD29">
        <f t="shared" si="671"/>
        <v>2029</v>
      </c>
      <c r="AE29">
        <f t="shared" si="671"/>
        <v>2030</v>
      </c>
      <c r="AF29">
        <f t="shared" si="671"/>
        <v>2031</v>
      </c>
      <c r="AG29">
        <v>2040</v>
      </c>
      <c r="AH29">
        <v>2050</v>
      </c>
      <c r="AL29">
        <f>E29</f>
        <v>2010</v>
      </c>
      <c r="AM29">
        <f>G29</f>
        <v>2020</v>
      </c>
      <c r="AN29">
        <f>H29</f>
        <v>2030</v>
      </c>
      <c r="AO29">
        <f>I29</f>
        <v>2050</v>
      </c>
      <c r="AQ29">
        <v>2010</v>
      </c>
      <c r="AR29">
        <f>AQ29+1</f>
        <v>2011</v>
      </c>
      <c r="AS29">
        <f t="shared" ref="AS29:BL29" si="672">AR29+1</f>
        <v>2012</v>
      </c>
      <c r="AT29">
        <f t="shared" si="672"/>
        <v>2013</v>
      </c>
      <c r="AU29">
        <f t="shared" si="672"/>
        <v>2014</v>
      </c>
      <c r="AV29">
        <f t="shared" si="672"/>
        <v>2015</v>
      </c>
      <c r="AW29">
        <f t="shared" si="672"/>
        <v>2016</v>
      </c>
      <c r="AX29">
        <f t="shared" si="672"/>
        <v>2017</v>
      </c>
      <c r="AY29">
        <f t="shared" si="672"/>
        <v>2018</v>
      </c>
      <c r="AZ29">
        <f t="shared" si="672"/>
        <v>2019</v>
      </c>
      <c r="BA29">
        <f t="shared" si="672"/>
        <v>2020</v>
      </c>
      <c r="BB29">
        <f t="shared" si="672"/>
        <v>2021</v>
      </c>
      <c r="BC29">
        <f t="shared" si="672"/>
        <v>2022</v>
      </c>
      <c r="BD29">
        <f t="shared" si="672"/>
        <v>2023</v>
      </c>
      <c r="BE29">
        <f t="shared" si="672"/>
        <v>2024</v>
      </c>
      <c r="BF29">
        <f t="shared" si="672"/>
        <v>2025</v>
      </c>
      <c r="BG29">
        <f t="shared" si="672"/>
        <v>2026</v>
      </c>
      <c r="BH29">
        <f t="shared" si="672"/>
        <v>2027</v>
      </c>
      <c r="BI29">
        <f t="shared" si="672"/>
        <v>2028</v>
      </c>
      <c r="BJ29">
        <f t="shared" si="672"/>
        <v>2029</v>
      </c>
      <c r="BK29">
        <f t="shared" si="672"/>
        <v>2030</v>
      </c>
      <c r="BL29">
        <f t="shared" si="672"/>
        <v>2031</v>
      </c>
      <c r="BM29">
        <v>2040</v>
      </c>
      <c r="BN29">
        <v>2050</v>
      </c>
      <c r="BP29">
        <f>AQ29</f>
        <v>2010</v>
      </c>
      <c r="BQ29">
        <f t="shared" ref="BQ29:CM29" si="673">AR29</f>
        <v>2011</v>
      </c>
      <c r="BR29">
        <f t="shared" si="673"/>
        <v>2012</v>
      </c>
      <c r="BS29">
        <f t="shared" si="673"/>
        <v>2013</v>
      </c>
      <c r="BT29">
        <f t="shared" si="673"/>
        <v>2014</v>
      </c>
      <c r="BU29">
        <f t="shared" si="673"/>
        <v>2015</v>
      </c>
      <c r="BV29">
        <f t="shared" si="673"/>
        <v>2016</v>
      </c>
      <c r="BW29">
        <f t="shared" si="673"/>
        <v>2017</v>
      </c>
      <c r="BX29">
        <f t="shared" si="673"/>
        <v>2018</v>
      </c>
      <c r="BY29">
        <f t="shared" si="673"/>
        <v>2019</v>
      </c>
      <c r="BZ29">
        <f t="shared" si="673"/>
        <v>2020</v>
      </c>
      <c r="CA29">
        <f t="shared" si="673"/>
        <v>2021</v>
      </c>
      <c r="CB29">
        <f t="shared" si="673"/>
        <v>2022</v>
      </c>
      <c r="CC29">
        <f t="shared" si="673"/>
        <v>2023</v>
      </c>
      <c r="CD29">
        <f t="shared" si="673"/>
        <v>2024</v>
      </c>
      <c r="CE29">
        <f t="shared" si="673"/>
        <v>2025</v>
      </c>
      <c r="CF29">
        <f t="shared" si="673"/>
        <v>2026</v>
      </c>
      <c r="CG29">
        <f t="shared" si="673"/>
        <v>2027</v>
      </c>
      <c r="CH29">
        <f t="shared" si="673"/>
        <v>2028</v>
      </c>
      <c r="CI29">
        <f t="shared" si="673"/>
        <v>2029</v>
      </c>
      <c r="CJ29">
        <f t="shared" si="673"/>
        <v>2030</v>
      </c>
      <c r="CK29">
        <f t="shared" si="673"/>
        <v>2031</v>
      </c>
      <c r="CL29">
        <f t="shared" si="673"/>
        <v>2040</v>
      </c>
      <c r="CM29">
        <f t="shared" si="673"/>
        <v>2050</v>
      </c>
      <c r="CO29">
        <f>BP29</f>
        <v>2010</v>
      </c>
      <c r="CP29">
        <f t="shared" ref="CP29:DD29" si="674">BQ29</f>
        <v>2011</v>
      </c>
      <c r="CQ29">
        <f t="shared" si="674"/>
        <v>2012</v>
      </c>
      <c r="CR29">
        <f t="shared" si="674"/>
        <v>2013</v>
      </c>
      <c r="CS29">
        <f t="shared" si="674"/>
        <v>2014</v>
      </c>
      <c r="CT29">
        <f t="shared" si="674"/>
        <v>2015</v>
      </c>
      <c r="CU29">
        <f t="shared" si="674"/>
        <v>2016</v>
      </c>
      <c r="CV29">
        <f t="shared" si="674"/>
        <v>2017</v>
      </c>
      <c r="CW29">
        <f t="shared" si="674"/>
        <v>2018</v>
      </c>
      <c r="CX29">
        <f t="shared" si="674"/>
        <v>2019</v>
      </c>
      <c r="CY29">
        <f t="shared" si="674"/>
        <v>2020</v>
      </c>
      <c r="CZ29">
        <f t="shared" si="674"/>
        <v>2021</v>
      </c>
      <c r="DA29">
        <f t="shared" si="674"/>
        <v>2022</v>
      </c>
      <c r="DB29">
        <f t="shared" si="674"/>
        <v>2023</v>
      </c>
      <c r="DC29">
        <f t="shared" si="674"/>
        <v>2024</v>
      </c>
      <c r="DD29">
        <f t="shared" si="674"/>
        <v>2025</v>
      </c>
      <c r="DE29">
        <f>CF29</f>
        <v>2026</v>
      </c>
      <c r="DF29">
        <f t="shared" ref="DF29:DG29" si="675">CG29</f>
        <v>2027</v>
      </c>
      <c r="DG29">
        <f t="shared" si="675"/>
        <v>2028</v>
      </c>
      <c r="DH29">
        <f>CI29</f>
        <v>2029</v>
      </c>
      <c r="DI29">
        <f t="shared" ref="DI29" si="676">CJ29</f>
        <v>2030</v>
      </c>
      <c r="DJ29">
        <f>CK29</f>
        <v>2031</v>
      </c>
      <c r="DK29">
        <f>CL29</f>
        <v>2040</v>
      </c>
      <c r="DL29">
        <f t="shared" ref="DL29" si="677">CM29</f>
        <v>2050</v>
      </c>
    </row>
    <row r="30" spans="1:141" x14ac:dyDescent="0.25">
      <c r="A30" t="str">
        <f t="shared" si="17"/>
        <v>IndustryMOZ</v>
      </c>
      <c r="B30" t="str">
        <f t="shared" ref="B30:B32" si="678">B25</f>
        <v>Industry</v>
      </c>
      <c r="C30" t="str">
        <f>IFERROR(VLOOKUP(D30,PoolPlan_EnergyProj!$C$89:$D$100,2,FALSE),C29)</f>
        <v>MOZ</v>
      </c>
      <c r="D30" t="s">
        <v>146</v>
      </c>
      <c r="E30" s="91">
        <v>0.8</v>
      </c>
      <c r="F30" s="91">
        <v>0.75</v>
      </c>
      <c r="G30" s="91">
        <v>0.7</v>
      </c>
      <c r="H30" s="91">
        <v>0.6</v>
      </c>
      <c r="I30" s="91">
        <v>0.55000000000000004</v>
      </c>
      <c r="K30" s="91">
        <f>E30</f>
        <v>0.8</v>
      </c>
      <c r="L30" s="91">
        <f>($P30-$K30)/($P$4-$K$4)+K30</f>
        <v>0.79</v>
      </c>
      <c r="M30" s="91">
        <f t="shared" ref="M30:O30" si="679">($P30-$K30)/($P$4-$K$4)+L30</f>
        <v>0.78</v>
      </c>
      <c r="N30" s="91">
        <f t="shared" si="679"/>
        <v>0.77</v>
      </c>
      <c r="O30" s="91">
        <f t="shared" si="679"/>
        <v>0.76</v>
      </c>
      <c r="P30" s="91">
        <f>F30</f>
        <v>0.75</v>
      </c>
      <c r="Q30" s="91">
        <f>($U30-$P30)/($U$4-$P$4)+P30</f>
        <v>0.74</v>
      </c>
      <c r="R30" s="91">
        <f t="shared" ref="R30:T30" si="680">($U30-$P30)/($U$4-$P$4)+Q30</f>
        <v>0.73</v>
      </c>
      <c r="S30" s="91">
        <f t="shared" si="680"/>
        <v>0.72</v>
      </c>
      <c r="T30" s="91">
        <f t="shared" si="680"/>
        <v>0.71</v>
      </c>
      <c r="U30" s="91">
        <f>G30</f>
        <v>0.7</v>
      </c>
      <c r="V30" s="91">
        <f>(AE30-U30)/(AE$4-U$4)+U30</f>
        <v>0.69</v>
      </c>
      <c r="W30" s="91">
        <f>(AE30-U30)/(AE$4-U$4)+V30</f>
        <v>0.67999999999999994</v>
      </c>
      <c r="X30" s="91">
        <f>(AE30-U30)/(AE$4-U$4)+W30</f>
        <v>0.66999999999999993</v>
      </c>
      <c r="Y30" s="91">
        <f>(AE30-U30)/(AE$4-U$4)+X30</f>
        <v>0.65999999999999992</v>
      </c>
      <c r="Z30" s="91">
        <f>(AE30-U30)/(AE$4-U$4)+Y30</f>
        <v>0.64999999999999991</v>
      </c>
      <c r="AA30" s="91">
        <f>(AE30-U30)/(AE$4-U$4)+Z30</f>
        <v>0.6399999999999999</v>
      </c>
      <c r="AB30" s="91">
        <f>(AE30-U30)/(AE$4-U$4)+AA30</f>
        <v>0.62999999999999989</v>
      </c>
      <c r="AC30" s="91">
        <f>(AE30-U30)/(AE$4-U$4)+AB30</f>
        <v>0.61999999999999988</v>
      </c>
      <c r="AD30" s="91">
        <f>(AE30-U30)/(AE$4-U$4)+AC30</f>
        <v>0.60999999999999988</v>
      </c>
      <c r="AE30" s="91">
        <f>H30</f>
        <v>0.6</v>
      </c>
      <c r="AF30" s="91">
        <f>(AH30-AE30)/(AH$4-AE$4)+AE30</f>
        <v>0.59750000000000003</v>
      </c>
      <c r="AG30" s="91">
        <f>(AE30+AH30)/2</f>
        <v>0.57499999999999996</v>
      </c>
      <c r="AH30" s="91">
        <f>I30</f>
        <v>0.55000000000000004</v>
      </c>
      <c r="AJ30" s="94">
        <f>SUMIF(AR2008_Stats!$A$18:$A$29,C30,AR2008_Stats!$T$18:$T$29)</f>
        <v>0.1925</v>
      </c>
      <c r="AK30" s="91">
        <f>SUMIF(AR2008_Stats!$A$18:$A$29,C30,AR2008_Stats!$R$18:$R$29)</f>
        <v>0.05</v>
      </c>
      <c r="AL30" s="83">
        <v>0.05</v>
      </c>
      <c r="AM30" s="91">
        <v>0.04</v>
      </c>
      <c r="AN30" s="91">
        <v>0.03</v>
      </c>
      <c r="AO30" s="91">
        <v>0.02</v>
      </c>
      <c r="AP30" s="95" t="str">
        <f>AQ30&amp;" "&amp;AR30&amp;" "&amp;AS30&amp;" "&amp;AT30&amp;" "&amp;AU30&amp;" "&amp;AV30&amp;" "&amp;AW30&amp;" "&amp;AX30&amp;" "&amp;AY30&amp;" "&amp;AZ30&amp;" "&amp;BA30&amp;" "&amp;BB30&amp;" "&amp;BC30&amp;" "&amp;BD30&amp;" "&amp;BE30&amp;" "&amp;BF30&amp;" "&amp;BG30&amp;" "&amp;BH30&amp;" "&amp;BI30&amp;" "&amp;BJ30&amp;" "&amp;BK30&amp;" "&amp;BL30&amp;" "&amp;BM30&amp;" "&amp;BN30&amp;" "</f>
        <v xml:space="preserve">0.05 0.049 0.048 0.047 0.046 0.045 0.044 0.043 0.042 0.041 0.04 0.039 0.038 0.037 0.036 0.035 0.034 0.033 0.032 0.031 0.03 0.0295 0.025 0.02 </v>
      </c>
      <c r="AQ30" s="91">
        <f>AL30</f>
        <v>0.05</v>
      </c>
      <c r="AR30" s="91">
        <f>(BA30-AQ30)/(BA$4-AQ$4)+AQ30</f>
        <v>4.9000000000000002E-2</v>
      </c>
      <c r="AS30" s="91">
        <f>(BA30-AQ30)/(BA$4-AQ$4)+AR30</f>
        <v>4.8000000000000001E-2</v>
      </c>
      <c r="AT30" s="91">
        <f>(BA30-AQ30)/(BA$4-AQ$4)+AS30</f>
        <v>4.7E-2</v>
      </c>
      <c r="AU30" s="91">
        <f>(BA30-AQ30)/(BA$4-AQ$4)+AT30</f>
        <v>4.5999999999999999E-2</v>
      </c>
      <c r="AV30" s="91">
        <f>(BA30-AQ30)/(BA$4-AQ$4)+AU30</f>
        <v>4.4999999999999998E-2</v>
      </c>
      <c r="AW30" s="91">
        <f>(BA30-AQ30)/(BA$4-AQ$4)+AV30</f>
        <v>4.3999999999999997E-2</v>
      </c>
      <c r="AX30" s="91">
        <f>(BA30-AQ30)/(BA$4-AQ$4)+AW30</f>
        <v>4.2999999999999997E-2</v>
      </c>
      <c r="AY30" s="91">
        <f>(BA30-AQ30)/(BA$4-AQ$4)+AX30</f>
        <v>4.1999999999999996E-2</v>
      </c>
      <c r="AZ30" s="91">
        <f>(BA30-AQ30)/(BA$4-AQ$4)+AY30</f>
        <v>4.0999999999999995E-2</v>
      </c>
      <c r="BA30" s="91">
        <f>AM30</f>
        <v>0.04</v>
      </c>
      <c r="BB30" s="91">
        <f>(BK30-BA30)/(BK$4-BA$4)+BA30</f>
        <v>3.9E-2</v>
      </c>
      <c r="BC30" s="91">
        <f>(BK30-BA30)/(BK$4-BA$4)+BB30</f>
        <v>3.7999999999999999E-2</v>
      </c>
      <c r="BD30" s="91">
        <f>(BK30-BA30)/(BK$4-BA$4)+BC30</f>
        <v>3.6999999999999998E-2</v>
      </c>
      <c r="BE30" s="91">
        <f>(BK30-BA30)/(BK$4-BA$4)+BD30</f>
        <v>3.5999999999999997E-2</v>
      </c>
      <c r="BF30" s="91">
        <f>(BK30-BA30)/(BK$4-BA$4)+BE30</f>
        <v>3.4999999999999996E-2</v>
      </c>
      <c r="BG30" s="91">
        <f>(BK30-BA30)/(BK$4-BA$4)+BF30</f>
        <v>3.3999999999999996E-2</v>
      </c>
      <c r="BH30" s="91">
        <f>(BK30-BA30)/(BK$4-BA$4)+BG30</f>
        <v>3.2999999999999995E-2</v>
      </c>
      <c r="BI30" s="91">
        <f>(BK30-BA30)/(BK$4-BA$4)+BH30</f>
        <v>3.1999999999999994E-2</v>
      </c>
      <c r="BJ30" s="91">
        <f>(BK30-BA30)/(BK$4-BA$4)+BI30</f>
        <v>3.0999999999999993E-2</v>
      </c>
      <c r="BK30" s="91">
        <f>AN30</f>
        <v>0.03</v>
      </c>
      <c r="BL30" s="91">
        <f>(BN30-BK30)/(BN$4-BK$4)+BK30</f>
        <v>2.9499999999999998E-2</v>
      </c>
      <c r="BM30" s="91">
        <f>(BK30+BN30)/2</f>
        <v>2.5000000000000001E-2</v>
      </c>
      <c r="BN30" s="91">
        <f>AO30</f>
        <v>0.02</v>
      </c>
      <c r="BP30" s="17">
        <f ca="1">K30*K33</f>
        <v>3006.4</v>
      </c>
      <c r="BQ30" s="17">
        <f t="shared" ref="BQ30" ca="1" si="681">L30*L33</f>
        <v>3156.84</v>
      </c>
      <c r="BR30" s="17">
        <f t="shared" ref="BR30" ca="1" si="682">M30*M33</f>
        <v>3329.82</v>
      </c>
      <c r="BS30" s="17">
        <f t="shared" ref="BS30" ca="1" si="683">N30*N33</f>
        <v>3437.28</v>
      </c>
      <c r="BT30" s="17">
        <f t="shared" ref="BT30" ca="1" si="684">O30*O33</f>
        <v>3555.28</v>
      </c>
      <c r="BU30" s="17">
        <f t="shared" ref="BU30" ca="1" si="685">P30*P33</f>
        <v>3673.5</v>
      </c>
      <c r="BV30" s="17">
        <f t="shared" ref="BV30" ca="1" si="686">Q30*Q33</f>
        <v>3762.16</v>
      </c>
      <c r="BW30" s="17">
        <f t="shared" ref="BW30" ca="1" si="687">R30*R33</f>
        <v>3870.46</v>
      </c>
      <c r="BX30" s="17">
        <f t="shared" ref="BX30" ca="1" si="688">S30*S33</f>
        <v>3970.7999999999997</v>
      </c>
      <c r="BY30" s="17">
        <f t="shared" ref="BY30" ca="1" si="689">T30*T33</f>
        <v>4072.56</v>
      </c>
      <c r="BZ30" s="17">
        <f t="shared" ref="BZ30" ca="1" si="690">U30*U33</f>
        <v>4176.2</v>
      </c>
      <c r="CA30" s="17">
        <f t="shared" ref="CA30" ca="1" si="691">V30*V33</f>
        <v>4281.45</v>
      </c>
      <c r="CB30" s="17">
        <f t="shared" ref="CB30" ca="1" si="692">W30*W33</f>
        <v>4388.7199999999993</v>
      </c>
      <c r="CC30" s="17">
        <f t="shared" ref="CC30" ca="1" si="693">X30*X33</f>
        <v>4497.7099999999991</v>
      </c>
      <c r="CD30" s="17">
        <f t="shared" ref="CD30" ca="1" si="694">Y30*Y33</f>
        <v>4608.12</v>
      </c>
      <c r="CE30" s="17">
        <f t="shared" ref="CE30" ca="1" si="695">Z30*Z33</f>
        <v>4720.2999999999993</v>
      </c>
      <c r="CF30" s="17">
        <f t="shared" ref="CF30" ca="1" si="696">AA30*AA33</f>
        <v>4834.0664795187613</v>
      </c>
      <c r="CG30" s="17">
        <f t="shared" ref="CG30" ca="1" si="697">AB30*AB33</f>
        <v>4949.0451085739878</v>
      </c>
      <c r="CH30" s="17">
        <f t="shared" ref="CH30" ca="1" si="698">AC30*AC33</f>
        <v>5066.2849085487242</v>
      </c>
      <c r="CI30" s="17">
        <f t="shared" ref="CI30" ca="1" si="699">AD30*AD33</f>
        <v>5184.5017711197461</v>
      </c>
      <c r="CJ30" s="17">
        <f t="shared" ref="CJ30" ca="1" si="700">AE30*AE33</f>
        <v>5304.2209804889435</v>
      </c>
      <c r="CK30" s="17">
        <f t="shared" ref="CK30" ca="1" si="701">AF30*AF33</f>
        <v>5492.2017548596968</v>
      </c>
      <c r="CL30" s="17">
        <f t="shared" ref="CL30" ca="1" si="702">AG30*AG33</f>
        <v>7533.9427348092258</v>
      </c>
      <c r="CM30" s="17">
        <f t="shared" ref="CM30" ca="1" si="703">AH30*AH33</f>
        <v>10681.004642231748</v>
      </c>
      <c r="CN30" s="95" t="str">
        <f t="shared" ref="CN30:CN32" ca="1" si="704">CO30&amp;" "&amp;CP30&amp;" "&amp;CQ30&amp;" "&amp;CR30&amp;" "&amp;CS30&amp;" "&amp;CT30&amp;" "&amp;CU30&amp;" "&amp;CV30&amp;" "&amp;CW30&amp;" "&amp;CX30&amp;" "&amp;CY30&amp;" "&amp;CZ30&amp;" "&amp;DA30&amp;" "&amp;DB30&amp;" "&amp;DC30&amp;" "&amp;DD30&amp;" "&amp;DE30&amp;" "&amp;DF30&amp;" "&amp;DG30&amp;" "&amp;DH30&amp;" "&amp;DI30&amp;" "&amp;DJ30&amp;" "&amp;DK30&amp;" "&amp;DL30&amp;" "</f>
        <v xml:space="preserve">309.7 325.6 343.8 355.2 367.8 380.5 390 401.7 412.5 423.6 434.8 446.2 457.9 469.7 481.7 494 506.4 519 531.8 544.8 558 578 796.6 1135.2 </v>
      </c>
      <c r="CO30" s="96">
        <f ca="1">ROUND(BP30*(1-AQ30)*(1-$AK30)/8.76*(1+CO$2),1)</f>
        <v>309.7</v>
      </c>
      <c r="CP30" s="96">
        <f t="shared" ref="CP30:CP32" ca="1" si="705">ROUND(BQ30*(1-AR30)*(1-$AK30)/8.76*(1+CP$2),1)</f>
        <v>325.60000000000002</v>
      </c>
      <c r="CQ30" s="96">
        <f t="shared" ref="CQ30:CQ32" ca="1" si="706">ROUND(BR30*(1-AS30)*(1-$AK30)/8.76*(1+CQ$2),1)</f>
        <v>343.8</v>
      </c>
      <c r="CR30" s="96">
        <f t="shared" ref="CR30:CR32" ca="1" si="707">ROUND(BS30*(1-AT30)*(1-$AK30)/8.76*(1+CR$2),1)</f>
        <v>355.2</v>
      </c>
      <c r="CS30" s="96">
        <f t="shared" ref="CS30:CS32" ca="1" si="708">ROUND(BT30*(1-AU30)*(1-$AK30)/8.76*(1+CS$2),1)</f>
        <v>367.8</v>
      </c>
      <c r="CT30" s="96">
        <f t="shared" ref="CT30:CT32" ca="1" si="709">ROUND(BU30*(1-AV30)*(1-$AK30)/8.76*(1+CT$2),1)</f>
        <v>380.5</v>
      </c>
      <c r="CU30" s="96">
        <f t="shared" ref="CU30:CU32" ca="1" si="710">ROUND(BV30*(1-AW30)*(1-$AK30)/8.76*(1+CU$2),1)</f>
        <v>390</v>
      </c>
      <c r="CV30" s="96">
        <f t="shared" ref="CV30:CV32" ca="1" si="711">ROUND(BW30*(1-AX30)*(1-$AK30)/8.76*(1+CV$2),1)</f>
        <v>401.7</v>
      </c>
      <c r="CW30" s="96">
        <f t="shared" ref="CW30:CW32" ca="1" si="712">ROUND(BX30*(1-AY30)*(1-$AK30)/8.76*(1+CW$2),1)</f>
        <v>412.5</v>
      </c>
      <c r="CX30" s="96">
        <f t="shared" ref="CX30:CX32" ca="1" si="713">ROUND(BY30*(1-AZ30)*(1-$AK30)/8.76*(1+CX$2),1)</f>
        <v>423.6</v>
      </c>
      <c r="CY30" s="96">
        <f t="shared" ref="CY30:CY32" ca="1" si="714">ROUND(BZ30*(1-BA30)*(1-$AK30)/8.76*(1+CY$2),1)</f>
        <v>434.8</v>
      </c>
      <c r="CZ30" s="96">
        <f t="shared" ref="CZ30:CZ32" ca="1" si="715">ROUND(CA30*(1-BB30)*(1-$AK30)/8.76*(1+CZ$2),1)</f>
        <v>446.2</v>
      </c>
      <c r="DA30" s="96">
        <f t="shared" ref="DA30:DA32" ca="1" si="716">ROUND(CB30*(1-BC30)*(1-$AK30)/8.76*(1+DA$2),1)</f>
        <v>457.9</v>
      </c>
      <c r="DB30" s="96">
        <f t="shared" ref="DB30:DB32" ca="1" si="717">ROUND(CC30*(1-BD30)*(1-$AK30)/8.76*(1+DB$2),1)</f>
        <v>469.7</v>
      </c>
      <c r="DC30" s="96">
        <f t="shared" ref="DC30:DC32" ca="1" si="718">ROUND(CD30*(1-BE30)*(1-$AK30)/8.76*(1+DC$2),1)</f>
        <v>481.7</v>
      </c>
      <c r="DD30" s="96">
        <f t="shared" ref="DD30:DD32" ca="1" si="719">ROUND(CE30*(1-BF30)*(1-$AK30)/8.76*(1+DD$2),1)</f>
        <v>494</v>
      </c>
      <c r="DE30" s="96">
        <f t="shared" ref="DE30:DE32" ca="1" si="720">ROUND(CF30*(1-BG30)*(1-$AK30)/8.76*(1+DE$2),1)</f>
        <v>506.4</v>
      </c>
      <c r="DF30" s="96">
        <f t="shared" ref="DF30:DF32" ca="1" si="721">ROUND(CG30*(1-BH30)*(1-$AK30)/8.76*(1+DF$2),1)</f>
        <v>519</v>
      </c>
      <c r="DG30" s="96">
        <f t="shared" ref="DG30:DG32" ca="1" si="722">ROUND(CH30*(1-BI30)*(1-$AK30)/8.76*(1+DG$2),1)</f>
        <v>531.79999999999995</v>
      </c>
      <c r="DH30" s="96">
        <f t="shared" ref="DH30:DH32" ca="1" si="723">ROUND(CI30*(1-BJ30)*(1-$AK30)/8.76*(1+DH$2),1)</f>
        <v>544.79999999999995</v>
      </c>
      <c r="DI30" s="96">
        <f t="shared" ref="DI30:DI32" ca="1" si="724">ROUND(CJ30*(1-BK30)*(1-$AK30)/8.76*(1+DI$2),1)</f>
        <v>558</v>
      </c>
      <c r="DJ30" s="96">
        <f t="shared" ref="DJ30:DJ32" ca="1" si="725">ROUND(CK30*(1-BL30)*(1-$AK30)/8.76*(1+DJ$2),1)</f>
        <v>578</v>
      </c>
      <c r="DK30" s="96">
        <f t="shared" ref="DK30:DK32" ca="1" si="726">ROUND(CL30*(1-BM30)*(1-$AK30)/8.76*(1+DK$2),1)</f>
        <v>796.6</v>
      </c>
      <c r="DL30" s="96">
        <f t="shared" ref="DL30:DL32" ca="1" si="727">ROUND(CM30*(1-BN30)*(1-$AK30)/8.76*(1+DL$2),1)</f>
        <v>1135.2</v>
      </c>
      <c r="DM30" s="95" t="str">
        <f t="shared" ref="DM30:DM32" si="728">DN30&amp;" "&amp;DO30&amp;" "&amp;DP30&amp;" "&amp;DQ30&amp;" "&amp;DR30&amp;" "&amp;DS30&amp;" "&amp;DT30&amp;" "&amp;DU30&amp;" "&amp;DV30&amp;" "&amp;DW30&amp;" "&amp;DX30&amp;" "&amp;DY30&amp;" "&amp;DZ30&amp;" "&amp;EA30&amp;" "&amp;EB30&amp;" "&amp;EC30&amp;" "&amp;ED30&amp;" "&amp;EE30&amp;" "&amp;EF30&amp;" "&amp;EG30&amp;" "&amp;EH30&amp;" "&amp;EI30&amp;" "&amp;EJ30&amp;" "&amp;EK30&amp;" "</f>
        <v xml:space="preserve">0.95 0.951 0.952 0.953 0.954 0.955 0.956 0.957 0.958 0.959 0.96 0.961 0.962 0.963 0.964 0.965 0.966 0.967 0.968 0.969 0.97 0.9705 0.975 0.98 </v>
      </c>
      <c r="DN30" s="91">
        <f>1-AQ30</f>
        <v>0.95</v>
      </c>
      <c r="DO30" s="91">
        <f t="shared" ref="DO30:ED32" si="729">1-AR30</f>
        <v>0.95099999999999996</v>
      </c>
      <c r="DP30" s="91">
        <f t="shared" si="729"/>
        <v>0.95199999999999996</v>
      </c>
      <c r="DQ30" s="91">
        <f t="shared" si="729"/>
        <v>0.95299999999999996</v>
      </c>
      <c r="DR30" s="91">
        <f t="shared" si="729"/>
        <v>0.95399999999999996</v>
      </c>
      <c r="DS30" s="91">
        <f t="shared" si="729"/>
        <v>0.95499999999999996</v>
      </c>
      <c r="DT30" s="91">
        <f t="shared" si="729"/>
        <v>0.95599999999999996</v>
      </c>
      <c r="DU30" s="91">
        <f t="shared" si="729"/>
        <v>0.95699999999999996</v>
      </c>
      <c r="DV30" s="91">
        <f t="shared" si="729"/>
        <v>0.95799999999999996</v>
      </c>
      <c r="DW30" s="91">
        <f t="shared" si="729"/>
        <v>0.95899999999999996</v>
      </c>
      <c r="DX30" s="91">
        <f t="shared" si="729"/>
        <v>0.96</v>
      </c>
      <c r="DY30" s="91">
        <f t="shared" si="729"/>
        <v>0.96099999999999997</v>
      </c>
      <c r="DZ30" s="91">
        <f t="shared" si="729"/>
        <v>0.96199999999999997</v>
      </c>
      <c r="EA30" s="91">
        <f t="shared" si="729"/>
        <v>0.96299999999999997</v>
      </c>
      <c r="EB30" s="91">
        <f t="shared" si="729"/>
        <v>0.96399999999999997</v>
      </c>
      <c r="EC30" s="91">
        <f t="shared" si="729"/>
        <v>0.96499999999999997</v>
      </c>
      <c r="ED30" s="91">
        <f t="shared" si="729"/>
        <v>0.96599999999999997</v>
      </c>
      <c r="EE30" s="91">
        <f t="shared" ref="EE30:EK32" si="730">1-BH30</f>
        <v>0.96699999999999997</v>
      </c>
      <c r="EF30" s="91">
        <f t="shared" si="730"/>
        <v>0.96799999999999997</v>
      </c>
      <c r="EG30" s="91">
        <f t="shared" si="730"/>
        <v>0.96899999999999997</v>
      </c>
      <c r="EH30" s="91">
        <f t="shared" si="730"/>
        <v>0.97</v>
      </c>
      <c r="EI30" s="91">
        <f t="shared" si="730"/>
        <v>0.97050000000000003</v>
      </c>
      <c r="EJ30" s="91">
        <f t="shared" si="730"/>
        <v>0.97499999999999998</v>
      </c>
      <c r="EK30" s="91">
        <f t="shared" si="730"/>
        <v>0.98</v>
      </c>
    </row>
    <row r="31" spans="1:141" x14ac:dyDescent="0.25">
      <c r="A31" t="str">
        <f t="shared" si="17"/>
        <v>UrbanMOZ</v>
      </c>
      <c r="B31" t="str">
        <f t="shared" si="678"/>
        <v>Urban</v>
      </c>
      <c r="C31" t="str">
        <f>IFERROR(VLOOKUP(D31,PoolPlan_EnergyProj!$C$89:$D$100,2,FALSE),C30)</f>
        <v>MOZ</v>
      </c>
      <c r="D31" t="s">
        <v>148</v>
      </c>
      <c r="E31" s="91">
        <f>1-E30-E32</f>
        <v>0.17999999999999997</v>
      </c>
      <c r="F31" s="91">
        <f>1-F30-F32</f>
        <v>0.22</v>
      </c>
      <c r="G31" s="91">
        <f t="shared" ref="G31:I31" si="731">1-G30-G32</f>
        <v>0.25000000000000006</v>
      </c>
      <c r="H31" s="91">
        <f t="shared" si="731"/>
        <v>0.35000000000000003</v>
      </c>
      <c r="I31" s="91">
        <f t="shared" si="731"/>
        <v>0.39999999999999997</v>
      </c>
      <c r="K31" s="91">
        <f t="shared" ref="K31:K32" si="732">E31</f>
        <v>0.17999999999999997</v>
      </c>
      <c r="L31" s="91">
        <f t="shared" ref="L31:O32" si="733">($P31-$K31)/($P$4-$K$4)+K31</f>
        <v>0.18799999999999997</v>
      </c>
      <c r="M31" s="91">
        <f t="shared" si="733"/>
        <v>0.19599999999999998</v>
      </c>
      <c r="N31" s="91">
        <f t="shared" si="733"/>
        <v>0.20399999999999999</v>
      </c>
      <c r="O31" s="91">
        <f t="shared" si="733"/>
        <v>0.21199999999999999</v>
      </c>
      <c r="P31" s="91">
        <f t="shared" ref="P31:P32" si="734">F31</f>
        <v>0.22</v>
      </c>
      <c r="Q31" s="91">
        <f t="shared" ref="Q31:T32" si="735">($U31-$P31)/($U$4-$P$4)+P31</f>
        <v>0.22600000000000001</v>
      </c>
      <c r="R31" s="91">
        <f t="shared" si="735"/>
        <v>0.23200000000000001</v>
      </c>
      <c r="S31" s="91">
        <f t="shared" si="735"/>
        <v>0.23800000000000002</v>
      </c>
      <c r="T31" s="91">
        <f t="shared" si="735"/>
        <v>0.24400000000000002</v>
      </c>
      <c r="U31" s="91">
        <f t="shared" ref="U31:U32" si="736">G31</f>
        <v>0.25000000000000006</v>
      </c>
      <c r="V31" s="91">
        <f t="shared" ref="V31:V32" si="737">(AE31-U31)/(AE$4-U$4)+U31</f>
        <v>0.26000000000000006</v>
      </c>
      <c r="W31" s="91">
        <f t="shared" ref="W31:W32" si="738">(AE31-U31)/(AE$4-U$4)+V31</f>
        <v>0.27000000000000007</v>
      </c>
      <c r="X31" s="91">
        <f t="shared" ref="X31:X32" si="739">(AE31-U31)/(AE$4-U$4)+W31</f>
        <v>0.28000000000000008</v>
      </c>
      <c r="Y31" s="91">
        <f t="shared" ref="Y31:Y32" si="740">(AE31-U31)/(AE$4-U$4)+X31</f>
        <v>0.29000000000000009</v>
      </c>
      <c r="Z31" s="91">
        <f t="shared" ref="Z31:Z32" si="741">(AE31-U31)/(AE$4-U$4)+Y31</f>
        <v>0.3000000000000001</v>
      </c>
      <c r="AA31" s="91">
        <f t="shared" ref="AA31:AA32" si="742">(AE31-U31)/(AE$4-U$4)+Z31</f>
        <v>0.31000000000000011</v>
      </c>
      <c r="AB31" s="91">
        <f t="shared" ref="AB31:AB32" si="743">(AE31-U31)/(AE$4-U$4)+AA31</f>
        <v>0.32000000000000012</v>
      </c>
      <c r="AC31" s="91">
        <f t="shared" ref="AC31:AC32" si="744">(AE31-U31)/(AE$4-U$4)+AB31</f>
        <v>0.33000000000000013</v>
      </c>
      <c r="AD31" s="91">
        <f t="shared" ref="AD31:AD32" si="745">(AE31-U31)/(AE$4-U$4)+AC31</f>
        <v>0.34000000000000014</v>
      </c>
      <c r="AE31" s="91">
        <f t="shared" ref="AE31:AE32" si="746">H31</f>
        <v>0.35000000000000003</v>
      </c>
      <c r="AF31" s="91">
        <f>(AH31-AE31)/(AH$4-AE$4)+AE31</f>
        <v>0.35250000000000004</v>
      </c>
      <c r="AG31" s="91">
        <f t="shared" ref="AG31:AG32" si="747">(AE31+AH31)/2</f>
        <v>0.375</v>
      </c>
      <c r="AH31" s="91">
        <f>I31</f>
        <v>0.39999999999999997</v>
      </c>
      <c r="AJ31" s="91" t="s">
        <v>149</v>
      </c>
      <c r="AK31" s="91">
        <f>AK30</f>
        <v>0.05</v>
      </c>
      <c r="AL31" s="97">
        <v>0.3</v>
      </c>
      <c r="AM31" s="91">
        <v>0.15</v>
      </c>
      <c r="AN31" s="91">
        <v>0.08</v>
      </c>
      <c r="AO31" s="91">
        <f>AN31</f>
        <v>0.08</v>
      </c>
      <c r="AP31" s="95" t="str">
        <f>AQ31&amp;" "&amp;AR31&amp;" "&amp;AS31&amp;" "&amp;AT31&amp;" "&amp;AU31&amp;" "&amp;AV31&amp;" "&amp;AW31&amp;" "&amp;AX31&amp;" "&amp;AY31&amp;" "&amp;AZ31&amp;" "&amp;BA31&amp;" "&amp;BB31&amp;" "&amp;BC31&amp;" "&amp;BD31&amp;" "&amp;BE31&amp;" "&amp;BF31&amp;" "&amp;BG31&amp;" "&amp;BH31&amp;" "&amp;BI31&amp;" "&amp;BJ31&amp;" "&amp;BK31&amp;" "&amp;BL31&amp;" "&amp;BM31&amp;" "&amp;BN31&amp;" "</f>
        <v xml:space="preserve">0.3 0.285 0.27 0.255 0.24 0.225 0.21 0.195 0.18 0.165 0.15 0.143 0.136 0.129 0.122 0.115 0.108 0.101 0.0939999999999999 0.0869999999999999 0.08 0.08 0.08 0.08 </v>
      </c>
      <c r="AQ31" s="91">
        <f t="shared" ref="AQ31:AQ32" si="748">AL31</f>
        <v>0.3</v>
      </c>
      <c r="AR31" s="91">
        <f t="shared" ref="AR31:AR32" si="749">(BA31-AQ31)/(BA$4-AQ$4)+AQ31</f>
        <v>0.28499999999999998</v>
      </c>
      <c r="AS31" s="91">
        <f t="shared" ref="AS31:AS32" si="750">(BA31-AQ31)/(BA$4-AQ$4)+AR31</f>
        <v>0.26999999999999996</v>
      </c>
      <c r="AT31" s="91">
        <f t="shared" ref="AT31:AT32" si="751">(BA31-AQ31)/(BA$4-AQ$4)+AS31</f>
        <v>0.25499999999999995</v>
      </c>
      <c r="AU31" s="91">
        <f t="shared" ref="AU31:AU32" si="752">(BA31-AQ31)/(BA$4-AQ$4)+AT31</f>
        <v>0.23999999999999994</v>
      </c>
      <c r="AV31" s="91">
        <f t="shared" ref="AV31:AV32" si="753">(BA31-AQ31)/(BA$4-AQ$4)+AU31</f>
        <v>0.22499999999999992</v>
      </c>
      <c r="AW31" s="91">
        <f t="shared" ref="AW31:AW32" si="754">(BA31-AQ31)/(BA$4-AQ$4)+AV31</f>
        <v>0.20999999999999991</v>
      </c>
      <c r="AX31" s="91">
        <f t="shared" ref="AX31:AX32" si="755">(BA31-AQ31)/(BA$4-AQ$4)+AW31</f>
        <v>0.1949999999999999</v>
      </c>
      <c r="AY31" s="91">
        <f t="shared" ref="AY31:AY32" si="756">(BA31-AQ31)/(BA$4-AQ$4)+AX31</f>
        <v>0.17999999999999988</v>
      </c>
      <c r="AZ31" s="91">
        <f t="shared" ref="AZ31:AZ32" si="757">(BA31-AQ31)/(BA$4-AQ$4)+AY31</f>
        <v>0.16499999999999987</v>
      </c>
      <c r="BA31" s="91">
        <f t="shared" ref="BA31:BA32" si="758">AM31</f>
        <v>0.15</v>
      </c>
      <c r="BB31" s="91">
        <f t="shared" ref="BB31:BB32" si="759">(BK31-BA31)/(BK$4-BA$4)+BA31</f>
        <v>0.14299999999999999</v>
      </c>
      <c r="BC31" s="91">
        <f t="shared" ref="BC31:BC32" si="760">(BK31-BA31)/(BK$4-BA$4)+BB31</f>
        <v>0.13599999999999998</v>
      </c>
      <c r="BD31" s="91">
        <f t="shared" ref="BD31:BD32" si="761">(BK31-BA31)/(BK$4-BA$4)+BC31</f>
        <v>0.12899999999999998</v>
      </c>
      <c r="BE31" s="91">
        <f t="shared" ref="BE31:BE32" si="762">(BK31-BA31)/(BK$4-BA$4)+BD31</f>
        <v>0.12199999999999997</v>
      </c>
      <c r="BF31" s="91">
        <f t="shared" ref="BF31:BF32" si="763">(BK31-BA31)/(BK$4-BA$4)+BE31</f>
        <v>0.11499999999999996</v>
      </c>
      <c r="BG31" s="91">
        <f t="shared" ref="BG31:BG32" si="764">(BK31-BA31)/(BK$4-BA$4)+BF31</f>
        <v>0.10799999999999996</v>
      </c>
      <c r="BH31" s="91">
        <f t="shared" ref="BH31:BH32" si="765">(BK31-BA31)/(BK$4-BA$4)+BG31</f>
        <v>0.10099999999999995</v>
      </c>
      <c r="BI31" s="91">
        <f t="shared" ref="BI31:BI32" si="766">(BK31-BA31)/(BK$4-BA$4)+BH31</f>
        <v>9.3999999999999945E-2</v>
      </c>
      <c r="BJ31" s="91">
        <f t="shared" ref="BJ31:BJ32" si="767">(BK31-BA31)/(BK$4-BA$4)+BI31</f>
        <v>8.6999999999999938E-2</v>
      </c>
      <c r="BK31" s="91">
        <f t="shared" ref="BK31:BK32" si="768">AN31</f>
        <v>0.08</v>
      </c>
      <c r="BL31" s="91">
        <f>(BN31-BK31)/(BN$4-BK$4)+BK31</f>
        <v>0.08</v>
      </c>
      <c r="BM31" s="91">
        <f t="shared" ref="BM31:BM32" si="769">(BK31+BN31)/2</f>
        <v>0.08</v>
      </c>
      <c r="BN31" s="91">
        <f>AO31</f>
        <v>0.08</v>
      </c>
      <c r="BP31" s="17">
        <f ca="1">K31*K33</f>
        <v>676.43999999999983</v>
      </c>
      <c r="BQ31" s="17">
        <f t="shared" ref="BQ31" ca="1" si="770">L31*L33</f>
        <v>751.24799999999993</v>
      </c>
      <c r="BR31" s="17">
        <f t="shared" ref="BR31" ca="1" si="771">M31*M33</f>
        <v>836.72399999999993</v>
      </c>
      <c r="BS31" s="17">
        <f t="shared" ref="BS31" ca="1" si="772">N31*N33</f>
        <v>910.65599999999995</v>
      </c>
      <c r="BT31" s="17">
        <f t="shared" ref="BT31" ca="1" si="773">O31*O33</f>
        <v>991.73599999999999</v>
      </c>
      <c r="BU31" s="17">
        <f t="shared" ref="BU31" ca="1" si="774">P31*P33</f>
        <v>1077.56</v>
      </c>
      <c r="BV31" s="17">
        <f t="shared" ref="BV31" ca="1" si="775">Q31*Q33</f>
        <v>1148.9839999999999</v>
      </c>
      <c r="BW31" s="17">
        <f t="shared" ref="BW31" ca="1" si="776">R31*R33</f>
        <v>1230.0640000000001</v>
      </c>
      <c r="BX31" s="17">
        <f t="shared" ref="BX31" ca="1" si="777">S31*S33</f>
        <v>1312.5700000000002</v>
      </c>
      <c r="BY31" s="17">
        <f t="shared" ref="BY31" ca="1" si="778">T31*T33</f>
        <v>1399.5840000000001</v>
      </c>
      <c r="BZ31" s="17">
        <f t="shared" ref="BZ31" ca="1" si="779">U31*U33</f>
        <v>1491.5000000000002</v>
      </c>
      <c r="CA31" s="17">
        <f t="shared" ref="CA31" ca="1" si="780">V31*V33</f>
        <v>1613.3000000000004</v>
      </c>
      <c r="CB31" s="17">
        <f t="shared" ref="CB31" ca="1" si="781">W31*W33</f>
        <v>1742.5800000000004</v>
      </c>
      <c r="CC31" s="17">
        <f t="shared" ref="CC31" ca="1" si="782">X31*X33</f>
        <v>1879.6400000000006</v>
      </c>
      <c r="CD31" s="17">
        <f t="shared" ref="CD31" ca="1" si="783">Y31*Y33</f>
        <v>2024.7800000000007</v>
      </c>
      <c r="CE31" s="17">
        <f t="shared" ref="CE31" ca="1" si="784">Z31*Z33</f>
        <v>2178.6000000000008</v>
      </c>
      <c r="CF31" s="17">
        <f t="shared" ref="CF31" ca="1" si="785">AA31*AA33</f>
        <v>2341.5009510169011</v>
      </c>
      <c r="CG31" s="17">
        <f t="shared" ref="CG31" ca="1" si="786">AB31*AB33</f>
        <v>2513.8006900693285</v>
      </c>
      <c r="CH31" s="17">
        <f t="shared" ref="CH31" ca="1" si="787">AC31*AC33</f>
        <v>2696.5709997114191</v>
      </c>
      <c r="CI31" s="17">
        <f t="shared" ref="CI31" ca="1" si="788">AD31*AD33</f>
        <v>2889.7222986569095</v>
      </c>
      <c r="CJ31" s="17">
        <f t="shared" ref="CJ31" ca="1" si="789">AE31*AE33</f>
        <v>3094.1289052852171</v>
      </c>
      <c r="CK31" s="17">
        <f t="shared" ref="CK31" ca="1" si="790">AF31*AF33</f>
        <v>3240.1692361306164</v>
      </c>
      <c r="CL31" s="17">
        <f t="shared" ref="CL31" ca="1" si="791">AG31*AG33</f>
        <v>4913.440914006017</v>
      </c>
      <c r="CM31" s="17">
        <f t="shared" ref="CM31" ca="1" si="792">AH31*AH33</f>
        <v>7768.0033761685427</v>
      </c>
      <c r="CN31" s="95" t="str">
        <f t="shared" ca="1" si="704"/>
        <v xml:space="preserve">51.4 58.3 66.2 73.6 81.7 90.6 98.4 107.4 116.7 126.7 137.5 149.9 163.3 177.5 192.8 209.1 226.5 245.1 264.9 286.1 308.7 323.3 490.2 775 </v>
      </c>
      <c r="CO31" s="96">
        <f ca="1">ROUND(BP31*(1-AQ31)*(1-$AK31)/8.76*(1+CO$2),1)</f>
        <v>51.4</v>
      </c>
      <c r="CP31" s="96">
        <f t="shared" ca="1" si="705"/>
        <v>58.3</v>
      </c>
      <c r="CQ31" s="96">
        <f t="shared" ca="1" si="706"/>
        <v>66.2</v>
      </c>
      <c r="CR31" s="96">
        <f t="shared" ca="1" si="707"/>
        <v>73.599999999999994</v>
      </c>
      <c r="CS31" s="96">
        <f t="shared" ca="1" si="708"/>
        <v>81.7</v>
      </c>
      <c r="CT31" s="96">
        <f t="shared" ca="1" si="709"/>
        <v>90.6</v>
      </c>
      <c r="CU31" s="96">
        <f t="shared" ca="1" si="710"/>
        <v>98.4</v>
      </c>
      <c r="CV31" s="96">
        <f t="shared" ca="1" si="711"/>
        <v>107.4</v>
      </c>
      <c r="CW31" s="96">
        <f t="shared" ca="1" si="712"/>
        <v>116.7</v>
      </c>
      <c r="CX31" s="96">
        <f t="shared" ca="1" si="713"/>
        <v>126.7</v>
      </c>
      <c r="CY31" s="96">
        <f t="shared" ca="1" si="714"/>
        <v>137.5</v>
      </c>
      <c r="CZ31" s="96">
        <f t="shared" ca="1" si="715"/>
        <v>149.9</v>
      </c>
      <c r="DA31" s="96">
        <f t="shared" ca="1" si="716"/>
        <v>163.30000000000001</v>
      </c>
      <c r="DB31" s="96">
        <f t="shared" ca="1" si="717"/>
        <v>177.5</v>
      </c>
      <c r="DC31" s="96">
        <f t="shared" ca="1" si="718"/>
        <v>192.8</v>
      </c>
      <c r="DD31" s="96">
        <f t="shared" ca="1" si="719"/>
        <v>209.1</v>
      </c>
      <c r="DE31" s="96">
        <f t="shared" ca="1" si="720"/>
        <v>226.5</v>
      </c>
      <c r="DF31" s="96">
        <f t="shared" ca="1" si="721"/>
        <v>245.1</v>
      </c>
      <c r="DG31" s="96">
        <f t="shared" ca="1" si="722"/>
        <v>264.89999999999998</v>
      </c>
      <c r="DH31" s="96">
        <f t="shared" ca="1" si="723"/>
        <v>286.10000000000002</v>
      </c>
      <c r="DI31" s="96">
        <f t="shared" ca="1" si="724"/>
        <v>308.7</v>
      </c>
      <c r="DJ31" s="96">
        <f t="shared" ca="1" si="725"/>
        <v>323.3</v>
      </c>
      <c r="DK31" s="96">
        <f t="shared" ca="1" si="726"/>
        <v>490.2</v>
      </c>
      <c r="DL31" s="96">
        <f t="shared" ca="1" si="727"/>
        <v>775</v>
      </c>
      <c r="DM31" s="95" t="str">
        <f t="shared" si="728"/>
        <v xml:space="preserve">0.7 0.715 0.73 0.745 0.76 0.775 0.79 0.805 0.82 0.835 0.85 0.857 0.864 0.871 0.878 0.885 0.892 0.899 0.906 0.913 0.92 0.92 0.92 0.92 </v>
      </c>
      <c r="DN31" s="91">
        <f t="shared" ref="DN31:DN32" si="793">1-AQ31</f>
        <v>0.7</v>
      </c>
      <c r="DO31" s="91">
        <f t="shared" si="729"/>
        <v>0.71500000000000008</v>
      </c>
      <c r="DP31" s="91">
        <f t="shared" si="729"/>
        <v>0.73</v>
      </c>
      <c r="DQ31" s="91">
        <f t="shared" si="729"/>
        <v>0.74500000000000011</v>
      </c>
      <c r="DR31" s="91">
        <f t="shared" si="729"/>
        <v>0.76</v>
      </c>
      <c r="DS31" s="91">
        <f t="shared" si="729"/>
        <v>0.77500000000000013</v>
      </c>
      <c r="DT31" s="91">
        <f t="shared" si="729"/>
        <v>0.79</v>
      </c>
      <c r="DU31" s="91">
        <f t="shared" si="729"/>
        <v>0.80500000000000016</v>
      </c>
      <c r="DV31" s="91">
        <f t="shared" si="729"/>
        <v>0.82000000000000006</v>
      </c>
      <c r="DW31" s="91">
        <f t="shared" si="729"/>
        <v>0.83500000000000019</v>
      </c>
      <c r="DX31" s="91">
        <f t="shared" si="729"/>
        <v>0.85</v>
      </c>
      <c r="DY31" s="91">
        <f t="shared" si="729"/>
        <v>0.85699999999999998</v>
      </c>
      <c r="DZ31" s="91">
        <f t="shared" si="729"/>
        <v>0.86399999999999999</v>
      </c>
      <c r="EA31" s="91">
        <f t="shared" si="729"/>
        <v>0.871</v>
      </c>
      <c r="EB31" s="91">
        <f t="shared" si="729"/>
        <v>0.878</v>
      </c>
      <c r="EC31" s="91">
        <f t="shared" si="729"/>
        <v>0.88500000000000001</v>
      </c>
      <c r="ED31" s="91">
        <f t="shared" si="729"/>
        <v>0.89200000000000002</v>
      </c>
      <c r="EE31" s="91">
        <f t="shared" si="730"/>
        <v>0.89900000000000002</v>
      </c>
      <c r="EF31" s="91">
        <f t="shared" si="730"/>
        <v>0.90600000000000003</v>
      </c>
      <c r="EG31" s="91">
        <f t="shared" si="730"/>
        <v>0.91300000000000003</v>
      </c>
      <c r="EH31" s="91">
        <f t="shared" si="730"/>
        <v>0.92</v>
      </c>
      <c r="EI31" s="91">
        <f t="shared" si="730"/>
        <v>0.92</v>
      </c>
      <c r="EJ31" s="91">
        <f t="shared" si="730"/>
        <v>0.92</v>
      </c>
      <c r="EK31" s="91">
        <f t="shared" si="730"/>
        <v>0.92</v>
      </c>
    </row>
    <row r="32" spans="1:141" x14ac:dyDescent="0.25">
      <c r="A32" t="str">
        <f t="shared" si="17"/>
        <v>RuralMOZ</v>
      </c>
      <c r="B32" t="str">
        <f t="shared" si="678"/>
        <v>Rural</v>
      </c>
      <c r="C32" t="str">
        <f>IFERROR(VLOOKUP(D32,PoolPlan_EnergyProj!$C$89:$D$100,2,FALSE),C31)</f>
        <v>MOZ</v>
      </c>
      <c r="D32" t="s">
        <v>150</v>
      </c>
      <c r="E32" s="91">
        <v>0.02</v>
      </c>
      <c r="F32" s="91">
        <v>0.03</v>
      </c>
      <c r="G32" s="91">
        <v>0.05</v>
      </c>
      <c r="H32" s="91">
        <v>0.05</v>
      </c>
      <c r="I32" s="91">
        <v>0.05</v>
      </c>
      <c r="K32" s="91">
        <f t="shared" si="732"/>
        <v>0.02</v>
      </c>
      <c r="L32" s="91">
        <f t="shared" si="733"/>
        <v>2.1999999999999999E-2</v>
      </c>
      <c r="M32" s="91">
        <f t="shared" si="733"/>
        <v>2.3999999999999997E-2</v>
      </c>
      <c r="N32" s="91">
        <f t="shared" si="733"/>
        <v>2.5999999999999995E-2</v>
      </c>
      <c r="O32" s="91">
        <f t="shared" si="733"/>
        <v>2.7999999999999994E-2</v>
      </c>
      <c r="P32" s="91">
        <f t="shared" si="734"/>
        <v>0.03</v>
      </c>
      <c r="Q32" s="91">
        <f t="shared" si="735"/>
        <v>3.4000000000000002E-2</v>
      </c>
      <c r="R32" s="91">
        <f t="shared" si="735"/>
        <v>3.8000000000000006E-2</v>
      </c>
      <c r="S32" s="91">
        <f t="shared" si="735"/>
        <v>4.200000000000001E-2</v>
      </c>
      <c r="T32" s="91">
        <f t="shared" si="735"/>
        <v>4.6000000000000013E-2</v>
      </c>
      <c r="U32" s="91">
        <f t="shared" si="736"/>
        <v>0.05</v>
      </c>
      <c r="V32" s="91">
        <f t="shared" si="737"/>
        <v>0.05</v>
      </c>
      <c r="W32" s="91">
        <f t="shared" si="738"/>
        <v>0.05</v>
      </c>
      <c r="X32" s="91">
        <f t="shared" si="739"/>
        <v>0.05</v>
      </c>
      <c r="Y32" s="91">
        <f t="shared" si="740"/>
        <v>0.05</v>
      </c>
      <c r="Z32" s="91">
        <f t="shared" si="741"/>
        <v>0.05</v>
      </c>
      <c r="AA32" s="91">
        <f t="shared" si="742"/>
        <v>0.05</v>
      </c>
      <c r="AB32" s="91">
        <f t="shared" si="743"/>
        <v>0.05</v>
      </c>
      <c r="AC32" s="91">
        <f t="shared" si="744"/>
        <v>0.05</v>
      </c>
      <c r="AD32" s="91">
        <f t="shared" si="745"/>
        <v>0.05</v>
      </c>
      <c r="AE32" s="91">
        <f t="shared" si="746"/>
        <v>0.05</v>
      </c>
      <c r="AF32" s="91">
        <f>(AH32-AE32)/(AH$4-AE$4)+AE32</f>
        <v>0.05</v>
      </c>
      <c r="AG32" s="91">
        <f t="shared" si="747"/>
        <v>0.05</v>
      </c>
      <c r="AH32" s="91">
        <f>I32</f>
        <v>0.05</v>
      </c>
      <c r="AJ32" s="98">
        <f>1-((1-AL32)*K32+(1-AL31)*K31+(1-AL30)*K30)*(1-AK30)</f>
        <v>0.14500000000000013</v>
      </c>
      <c r="AK32" s="91">
        <f>AK31</f>
        <v>0.05</v>
      </c>
      <c r="AL32" s="91">
        <v>0.3</v>
      </c>
      <c r="AM32" s="91">
        <v>0.2</v>
      </c>
      <c r="AN32" s="91">
        <v>0.2</v>
      </c>
      <c r="AO32" s="91">
        <f>AN32</f>
        <v>0.2</v>
      </c>
      <c r="AP32" s="95" t="str">
        <f>AQ32&amp;" "&amp;AR32&amp;" "&amp;AS32&amp;" "&amp;AT32&amp;" "&amp;AU32&amp;" "&amp;AV32&amp;" "&amp;AW32&amp;" "&amp;AX32&amp;" "&amp;AY32&amp;" "&amp;AZ32&amp;" "&amp;BA32&amp;" "&amp;BB32&amp;" "&amp;BC32&amp;" "&amp;BD32&amp;" "&amp;BE32&amp;" "&amp;BF32&amp;" "&amp;BG32&amp;" "&amp;BH32&amp;" "&amp;BI32&amp;" "&amp;BJ32&amp;" "&amp;BK32&amp;" "&amp;BL32&amp;" "&amp;BM32&amp;" "&amp;BN32&amp;" "</f>
        <v xml:space="preserve">0.3 0.29 0.28 0.27 0.26 0.25 0.24 0.23 0.22 0.21 0.2 0.2 0.2 0.2 0.2 0.2 0.2 0.2 0.2 0.2 0.2 0.2 0.2 0.2 </v>
      </c>
      <c r="AQ32" s="91">
        <f t="shared" si="748"/>
        <v>0.3</v>
      </c>
      <c r="AR32" s="91">
        <f t="shared" si="749"/>
        <v>0.28999999999999998</v>
      </c>
      <c r="AS32" s="91">
        <f t="shared" si="750"/>
        <v>0.27999999999999997</v>
      </c>
      <c r="AT32" s="91">
        <f t="shared" si="751"/>
        <v>0.26999999999999996</v>
      </c>
      <c r="AU32" s="91">
        <f t="shared" si="752"/>
        <v>0.25999999999999995</v>
      </c>
      <c r="AV32" s="91">
        <f t="shared" si="753"/>
        <v>0.24999999999999994</v>
      </c>
      <c r="AW32" s="91">
        <f t="shared" si="754"/>
        <v>0.23999999999999994</v>
      </c>
      <c r="AX32" s="91">
        <f t="shared" si="755"/>
        <v>0.22999999999999993</v>
      </c>
      <c r="AY32" s="91">
        <f t="shared" si="756"/>
        <v>0.21999999999999992</v>
      </c>
      <c r="AZ32" s="91">
        <f t="shared" si="757"/>
        <v>0.20999999999999991</v>
      </c>
      <c r="BA32" s="91">
        <f t="shared" si="758"/>
        <v>0.2</v>
      </c>
      <c r="BB32" s="91">
        <f t="shared" si="759"/>
        <v>0.2</v>
      </c>
      <c r="BC32" s="91">
        <f t="shared" si="760"/>
        <v>0.2</v>
      </c>
      <c r="BD32" s="91">
        <f t="shared" si="761"/>
        <v>0.2</v>
      </c>
      <c r="BE32" s="91">
        <f t="shared" si="762"/>
        <v>0.2</v>
      </c>
      <c r="BF32" s="91">
        <f t="shared" si="763"/>
        <v>0.2</v>
      </c>
      <c r="BG32" s="91">
        <f t="shared" si="764"/>
        <v>0.2</v>
      </c>
      <c r="BH32" s="91">
        <f t="shared" si="765"/>
        <v>0.2</v>
      </c>
      <c r="BI32" s="91">
        <f t="shared" si="766"/>
        <v>0.2</v>
      </c>
      <c r="BJ32" s="91">
        <f t="shared" si="767"/>
        <v>0.2</v>
      </c>
      <c r="BK32" s="91">
        <f t="shared" si="768"/>
        <v>0.2</v>
      </c>
      <c r="BL32" s="91">
        <f>(BN32-BK32)/(BN$4-BK$4)+BK32</f>
        <v>0.2</v>
      </c>
      <c r="BM32" s="91">
        <f t="shared" si="769"/>
        <v>0.2</v>
      </c>
      <c r="BN32" s="91">
        <f>AO32</f>
        <v>0.2</v>
      </c>
      <c r="BP32" s="17">
        <f ca="1">K32*K33</f>
        <v>75.16</v>
      </c>
      <c r="BQ32" s="17">
        <f t="shared" ref="BQ32" ca="1" si="794">L32*L33</f>
        <v>87.911999999999992</v>
      </c>
      <c r="BR32" s="17">
        <f t="shared" ref="BR32" ca="1" si="795">M32*M33</f>
        <v>102.45599999999999</v>
      </c>
      <c r="BS32" s="17">
        <f t="shared" ref="BS32" ca="1" si="796">N32*N33</f>
        <v>116.06399999999998</v>
      </c>
      <c r="BT32" s="17">
        <f t="shared" ref="BT32" ca="1" si="797">O32*O33</f>
        <v>130.98399999999998</v>
      </c>
      <c r="BU32" s="17">
        <f t="shared" ref="BU32" ca="1" si="798">P32*P33</f>
        <v>146.94</v>
      </c>
      <c r="BV32" s="17">
        <f t="shared" ref="BV32" ca="1" si="799">Q32*Q33</f>
        <v>172.85600000000002</v>
      </c>
      <c r="BW32" s="17">
        <f t="shared" ref="BW32" ca="1" si="800">R32*R33</f>
        <v>201.47600000000003</v>
      </c>
      <c r="BX32" s="17">
        <f t="shared" ref="BX32" ca="1" si="801">S32*S33</f>
        <v>231.63000000000005</v>
      </c>
      <c r="BY32" s="17">
        <f t="shared" ref="BY32" ca="1" si="802">T32*T33</f>
        <v>263.85600000000005</v>
      </c>
      <c r="BZ32" s="17">
        <f t="shared" ref="BZ32" ca="1" si="803">U32*U33</f>
        <v>298.3</v>
      </c>
      <c r="CA32" s="17">
        <f t="shared" ref="CA32" ca="1" si="804">V32*V33</f>
        <v>310.25</v>
      </c>
      <c r="CB32" s="17">
        <f t="shared" ref="CB32" ca="1" si="805">W32*W33</f>
        <v>322.70000000000005</v>
      </c>
      <c r="CC32" s="17">
        <f t="shared" ref="CC32" ca="1" si="806">X32*X33</f>
        <v>335.65000000000003</v>
      </c>
      <c r="CD32" s="17">
        <f t="shared" ref="CD32" ca="1" si="807">Y32*Y33</f>
        <v>349.1</v>
      </c>
      <c r="CE32" s="17">
        <f t="shared" ref="CE32" ca="1" si="808">Z32*Z33</f>
        <v>363.1</v>
      </c>
      <c r="CF32" s="17">
        <f t="shared" ref="CF32" ca="1" si="809">AA32*AA33</f>
        <v>377.6614437124033</v>
      </c>
      <c r="CG32" s="17">
        <f t="shared" ref="CG32" ca="1" si="810">AB32*AB33</f>
        <v>392.78135782333243</v>
      </c>
      <c r="CH32" s="17">
        <f t="shared" ref="CH32" ca="1" si="811">AC32*AC33</f>
        <v>408.5713635926391</v>
      </c>
      <c r="CI32" s="17">
        <f t="shared" ref="CI32" ca="1" si="812">AD32*AD33</f>
        <v>424.95916156719244</v>
      </c>
      <c r="CJ32" s="17">
        <f t="shared" ref="CJ32" ca="1" si="813">AE32*AE33</f>
        <v>442.01841504074531</v>
      </c>
      <c r="CK32" s="17">
        <f t="shared" ref="CK32" ca="1" si="814">AF32*AF33</f>
        <v>459.59847321001644</v>
      </c>
      <c r="CL32" s="17">
        <f t="shared" ref="CL32" ca="1" si="815">AG32*AG33</f>
        <v>655.12545520080232</v>
      </c>
      <c r="CM32" s="17">
        <f t="shared" ref="CM32" ca="1" si="816">AH32*AH33</f>
        <v>971.00042202106806</v>
      </c>
      <c r="CN32" s="95" t="str">
        <f t="shared" ca="1" si="704"/>
        <v xml:space="preserve">5.7 6.8 8 9.2 10.5 12 14.2 16.8 19.6 22.6 25.9 26.9 28 29.1 30.3 31.5 32.8 34.1 35.4 36.9 38.3 39.9 56.8 84.2 </v>
      </c>
      <c r="CO32" s="96">
        <f ca="1">ROUND(BP32*(1-AQ32)*(1-$AK32)/8.76*(1+CO$2),1)</f>
        <v>5.7</v>
      </c>
      <c r="CP32" s="96">
        <f t="shared" ca="1" si="705"/>
        <v>6.8</v>
      </c>
      <c r="CQ32" s="96">
        <f t="shared" ca="1" si="706"/>
        <v>8</v>
      </c>
      <c r="CR32" s="96">
        <f t="shared" ca="1" si="707"/>
        <v>9.1999999999999993</v>
      </c>
      <c r="CS32" s="96">
        <f t="shared" ca="1" si="708"/>
        <v>10.5</v>
      </c>
      <c r="CT32" s="96">
        <f t="shared" ca="1" si="709"/>
        <v>12</v>
      </c>
      <c r="CU32" s="96">
        <f t="shared" ca="1" si="710"/>
        <v>14.2</v>
      </c>
      <c r="CV32" s="96">
        <f t="shared" ca="1" si="711"/>
        <v>16.8</v>
      </c>
      <c r="CW32" s="96">
        <f t="shared" ca="1" si="712"/>
        <v>19.600000000000001</v>
      </c>
      <c r="CX32" s="96">
        <f t="shared" ca="1" si="713"/>
        <v>22.6</v>
      </c>
      <c r="CY32" s="96">
        <f t="shared" ca="1" si="714"/>
        <v>25.9</v>
      </c>
      <c r="CZ32" s="96">
        <f t="shared" ca="1" si="715"/>
        <v>26.9</v>
      </c>
      <c r="DA32" s="96">
        <f t="shared" ca="1" si="716"/>
        <v>28</v>
      </c>
      <c r="DB32" s="96">
        <f t="shared" ca="1" si="717"/>
        <v>29.1</v>
      </c>
      <c r="DC32" s="96">
        <f t="shared" ca="1" si="718"/>
        <v>30.3</v>
      </c>
      <c r="DD32" s="96">
        <f t="shared" ca="1" si="719"/>
        <v>31.5</v>
      </c>
      <c r="DE32" s="96">
        <f t="shared" ca="1" si="720"/>
        <v>32.799999999999997</v>
      </c>
      <c r="DF32" s="96">
        <f t="shared" ca="1" si="721"/>
        <v>34.1</v>
      </c>
      <c r="DG32" s="96">
        <f t="shared" ca="1" si="722"/>
        <v>35.4</v>
      </c>
      <c r="DH32" s="96">
        <f t="shared" ca="1" si="723"/>
        <v>36.9</v>
      </c>
      <c r="DI32" s="96">
        <f t="shared" ca="1" si="724"/>
        <v>38.299999999999997</v>
      </c>
      <c r="DJ32" s="96">
        <f t="shared" ca="1" si="725"/>
        <v>39.9</v>
      </c>
      <c r="DK32" s="96">
        <f t="shared" ca="1" si="726"/>
        <v>56.8</v>
      </c>
      <c r="DL32" s="96">
        <f t="shared" ca="1" si="727"/>
        <v>84.2</v>
      </c>
      <c r="DM32" s="95" t="str">
        <f t="shared" si="728"/>
        <v xml:space="preserve">0.7 0.71 0.72 0.73 0.74 0.75 0.76 0.77 0.78 0.79 0.8 0.8 0.8 0.8 0.8 0.8 0.8 0.8 0.8 0.8 0.8 0.8 0.8 0.8 </v>
      </c>
      <c r="DN32" s="91">
        <f t="shared" si="793"/>
        <v>0.7</v>
      </c>
      <c r="DO32" s="91">
        <f t="shared" si="729"/>
        <v>0.71</v>
      </c>
      <c r="DP32" s="91">
        <f t="shared" si="729"/>
        <v>0.72</v>
      </c>
      <c r="DQ32" s="91">
        <f t="shared" si="729"/>
        <v>0.73</v>
      </c>
      <c r="DR32" s="91">
        <f t="shared" si="729"/>
        <v>0.74</v>
      </c>
      <c r="DS32" s="91">
        <f t="shared" si="729"/>
        <v>0.75</v>
      </c>
      <c r="DT32" s="91">
        <f t="shared" si="729"/>
        <v>0.76</v>
      </c>
      <c r="DU32" s="91">
        <f t="shared" si="729"/>
        <v>0.77</v>
      </c>
      <c r="DV32" s="91">
        <f t="shared" si="729"/>
        <v>0.78</v>
      </c>
      <c r="DW32" s="91">
        <f t="shared" si="729"/>
        <v>0.79</v>
      </c>
      <c r="DX32" s="91">
        <f t="shared" si="729"/>
        <v>0.8</v>
      </c>
      <c r="DY32" s="91">
        <f t="shared" si="729"/>
        <v>0.8</v>
      </c>
      <c r="DZ32" s="91">
        <f t="shared" si="729"/>
        <v>0.8</v>
      </c>
      <c r="EA32" s="91">
        <f t="shared" si="729"/>
        <v>0.8</v>
      </c>
      <c r="EB32" s="91">
        <f t="shared" si="729"/>
        <v>0.8</v>
      </c>
      <c r="EC32" s="91">
        <f t="shared" si="729"/>
        <v>0.8</v>
      </c>
      <c r="ED32" s="91">
        <f t="shared" si="729"/>
        <v>0.8</v>
      </c>
      <c r="EE32" s="91">
        <f t="shared" si="730"/>
        <v>0.8</v>
      </c>
      <c r="EF32" s="91">
        <f t="shared" si="730"/>
        <v>0.8</v>
      </c>
      <c r="EG32" s="91">
        <f t="shared" si="730"/>
        <v>0.8</v>
      </c>
      <c r="EH32" s="91">
        <f t="shared" si="730"/>
        <v>0.8</v>
      </c>
      <c r="EI32" s="91">
        <f t="shared" si="730"/>
        <v>0.8</v>
      </c>
      <c r="EJ32" s="91">
        <f t="shared" si="730"/>
        <v>0.8</v>
      </c>
      <c r="EK32" s="91">
        <f t="shared" si="730"/>
        <v>0.8</v>
      </c>
    </row>
    <row r="33" spans="1:141" x14ac:dyDescent="0.25">
      <c r="A33" t="str">
        <f t="shared" si="17"/>
        <v>MOZ</v>
      </c>
      <c r="C33" t="str">
        <f>IFERROR(VLOOKUP(D33,PoolPlan_EnergyProj!$C$89:$D$100,2,FALSE),C32)</f>
        <v>MOZ</v>
      </c>
      <c r="D33" t="s">
        <v>151</v>
      </c>
      <c r="K33" s="17">
        <f ca="1">OFFSET(PoolPlan_EnergyProj!$B$6,MATCH(K29,PoolPlan_EnergyProj!$B$7:$B$30),MATCH($C33,PoolPlan_EnergyProj!$C$1:$N$1,0))</f>
        <v>3758</v>
      </c>
      <c r="L33" s="17">
        <f ca="1">OFFSET(PoolPlan_EnergyProj!$B$6,MATCH(L29,PoolPlan_EnergyProj!$B$7:$B$30),MATCH($C33,PoolPlan_EnergyProj!$C$1:$N$1,0))</f>
        <v>3996</v>
      </c>
      <c r="M33" s="17">
        <f ca="1">OFFSET(PoolPlan_EnergyProj!$B$6,MATCH(M29,PoolPlan_EnergyProj!$B$7:$B$30),MATCH($C33,PoolPlan_EnergyProj!$C$1:$N$1,0))</f>
        <v>4269</v>
      </c>
      <c r="N33" s="17">
        <f ca="1">OFFSET(PoolPlan_EnergyProj!$B$6,MATCH(N29,PoolPlan_EnergyProj!$B$7:$B$30),MATCH($C33,PoolPlan_EnergyProj!$C$1:$N$1,0))</f>
        <v>4464</v>
      </c>
      <c r="O33" s="17">
        <f ca="1">OFFSET(PoolPlan_EnergyProj!$B$6,MATCH(O29,PoolPlan_EnergyProj!$B$7:$B$30),MATCH($C33,PoolPlan_EnergyProj!$C$1:$N$1,0))</f>
        <v>4678</v>
      </c>
      <c r="P33" s="17">
        <f ca="1">OFFSET(PoolPlan_EnergyProj!$B$6,MATCH(P29,PoolPlan_EnergyProj!$B$7:$B$30),MATCH($C33,PoolPlan_EnergyProj!$C$1:$N$1,0))</f>
        <v>4898</v>
      </c>
      <c r="Q33" s="17">
        <f ca="1">OFFSET(PoolPlan_EnergyProj!$B$6,MATCH(Q29,PoolPlan_EnergyProj!$B$7:$B$30),MATCH($C33,PoolPlan_EnergyProj!$C$1:$N$1,0))</f>
        <v>5084</v>
      </c>
      <c r="R33" s="17">
        <f ca="1">OFFSET(PoolPlan_EnergyProj!$B$6,MATCH(R29,PoolPlan_EnergyProj!$B$7:$B$30),MATCH($C33,PoolPlan_EnergyProj!$C$1:$N$1,0))</f>
        <v>5302</v>
      </c>
      <c r="S33" s="17">
        <f ca="1">OFFSET(PoolPlan_EnergyProj!$B$6,MATCH(S29,PoolPlan_EnergyProj!$B$7:$B$30),MATCH($C33,PoolPlan_EnergyProj!$C$1:$N$1,0))</f>
        <v>5515</v>
      </c>
      <c r="T33" s="17">
        <f ca="1">OFFSET(PoolPlan_EnergyProj!$B$6,MATCH(T29,PoolPlan_EnergyProj!$B$7:$B$30),MATCH($C33,PoolPlan_EnergyProj!$C$1:$N$1,0))</f>
        <v>5736</v>
      </c>
      <c r="U33" s="17">
        <f ca="1">OFFSET(PoolPlan_EnergyProj!$B$6,MATCH(U29,PoolPlan_EnergyProj!$B$7:$B$30),MATCH($C33,PoolPlan_EnergyProj!$C$1:$N$1,0))</f>
        <v>5966</v>
      </c>
      <c r="V33" s="17">
        <f ca="1">OFFSET(PoolPlan_EnergyProj!$B$6,MATCH(V29,PoolPlan_EnergyProj!$B$7:$B$30),MATCH($C33,PoolPlan_EnergyProj!$C$1:$N$1,0))</f>
        <v>6205</v>
      </c>
      <c r="W33" s="17">
        <f ca="1">OFFSET(PoolPlan_EnergyProj!$B$6,MATCH(W29,PoolPlan_EnergyProj!$B$7:$B$30),MATCH($C33,PoolPlan_EnergyProj!$C$1:$N$1,0))</f>
        <v>6454</v>
      </c>
      <c r="X33" s="17">
        <f ca="1">OFFSET(PoolPlan_EnergyProj!$B$6,MATCH(X29,PoolPlan_EnergyProj!$B$7:$B$30),MATCH($C33,PoolPlan_EnergyProj!$C$1:$N$1,0))</f>
        <v>6713</v>
      </c>
      <c r="Y33" s="17">
        <f ca="1">OFFSET(PoolPlan_EnergyProj!$B$6,MATCH(Y29,PoolPlan_EnergyProj!$B$7:$B$30),MATCH($C33,PoolPlan_EnergyProj!$C$1:$N$1,0))</f>
        <v>6982</v>
      </c>
      <c r="Z33" s="17">
        <f ca="1">OFFSET(PoolPlan_EnergyProj!$B$6,MATCH(Z29,PoolPlan_EnergyProj!$B$7:$B$30),MATCH($C33,PoolPlan_EnergyProj!$C$1:$N$1,0))</f>
        <v>7262</v>
      </c>
      <c r="AA33" s="17">
        <f ca="1">OFFSET(PoolPlan_EnergyProj!$B$6,MATCH(AA29,PoolPlan_EnergyProj!$B$7:$B$30),MATCH($C33,PoolPlan_EnergyProj!$C$1:$N$1,0))</f>
        <v>7553.2288742480659</v>
      </c>
      <c r="AB33" s="17">
        <f ca="1">OFFSET(PoolPlan_EnergyProj!$B$6,MATCH(AB29,PoolPlan_EnergyProj!$B$7:$B$30),MATCH($C33,PoolPlan_EnergyProj!$C$1:$N$1,0))</f>
        <v>7855.6271564666486</v>
      </c>
      <c r="AC33" s="17">
        <f ca="1">OFFSET(PoolPlan_EnergyProj!$B$6,MATCH(AC29,PoolPlan_EnergyProj!$B$7:$B$30),MATCH($C33,PoolPlan_EnergyProj!$C$1:$N$1,0))</f>
        <v>8171.4272718527818</v>
      </c>
      <c r="AD33" s="17">
        <f ca="1">OFFSET(PoolPlan_EnergyProj!$B$6,MATCH(AD29,PoolPlan_EnergyProj!$B$7:$B$30),MATCH($C33,PoolPlan_EnergyProj!$C$1:$N$1,0))</f>
        <v>8499.1832313438481</v>
      </c>
      <c r="AE33" s="17">
        <f ca="1">OFFSET(PoolPlan_EnergyProj!$B$6,MATCH(AE29,PoolPlan_EnergyProj!$B$7:$B$30),MATCH($C33,PoolPlan_EnergyProj!$C$1:$N$1,0))</f>
        <v>8840.3683008149055</v>
      </c>
      <c r="AF33" s="17">
        <f ca="1">OFFSET(PoolPlan_EnergyProj!$B$6,MATCH(AF29,PoolPlan_EnergyProj!$B$7:$B$30),MATCH($C33,PoolPlan_EnergyProj!$C$1:$N$1,0))</f>
        <v>9191.9694642003287</v>
      </c>
      <c r="AG33" s="17">
        <f ca="1">OFFSET(PoolPlan_EnergyProj!$B$6,MATCH(AG29,PoolPlan_EnergyProj!$B$7:$B$30),MATCH($C33,PoolPlan_EnergyProj!$C$1:$N$1,0))</f>
        <v>13102.509104016046</v>
      </c>
      <c r="AH33" s="17">
        <f ca="1">OFFSET(PoolPlan_EnergyProj!$B$6,MATCH(AH29,PoolPlan_EnergyProj!$B$7:$B$30),MATCH($C33,PoolPlan_EnergyProj!$C$1:$N$1,0))</f>
        <v>19420.008440421359</v>
      </c>
      <c r="BP33" s="17">
        <f ca="1">SUM(BP30:BP32)</f>
        <v>3758</v>
      </c>
      <c r="BQ33" s="17">
        <f t="shared" ref="BQ33:CM33" ca="1" si="817">SUM(BQ30:BQ32)</f>
        <v>3996</v>
      </c>
      <c r="BR33" s="17">
        <f t="shared" ca="1" si="817"/>
        <v>4269</v>
      </c>
      <c r="BS33" s="17">
        <f t="shared" ca="1" si="817"/>
        <v>4464</v>
      </c>
      <c r="BT33" s="17">
        <f t="shared" ca="1" si="817"/>
        <v>4678.0000000000009</v>
      </c>
      <c r="BU33" s="17">
        <f t="shared" ca="1" si="817"/>
        <v>4897.9999999999991</v>
      </c>
      <c r="BV33" s="17">
        <f t="shared" ca="1" si="817"/>
        <v>5084</v>
      </c>
      <c r="BW33" s="17">
        <f t="shared" ca="1" si="817"/>
        <v>5302</v>
      </c>
      <c r="BX33" s="17">
        <f t="shared" ca="1" si="817"/>
        <v>5515</v>
      </c>
      <c r="BY33" s="17">
        <f t="shared" ca="1" si="817"/>
        <v>5736</v>
      </c>
      <c r="BZ33" s="17">
        <f t="shared" ca="1" si="817"/>
        <v>5966</v>
      </c>
      <c r="CA33" s="17">
        <f t="shared" ca="1" si="817"/>
        <v>6205</v>
      </c>
      <c r="CB33" s="17">
        <f t="shared" ca="1" si="817"/>
        <v>6453.9999999999991</v>
      </c>
      <c r="CC33" s="17">
        <f t="shared" ca="1" si="817"/>
        <v>6712.9999999999991</v>
      </c>
      <c r="CD33" s="17">
        <f t="shared" ca="1" si="817"/>
        <v>6982.0000000000009</v>
      </c>
      <c r="CE33" s="17">
        <f t="shared" ca="1" si="817"/>
        <v>7262</v>
      </c>
      <c r="CF33" s="17">
        <f t="shared" ca="1" si="817"/>
        <v>7553.2288742480659</v>
      </c>
      <c r="CG33" s="17">
        <f t="shared" ca="1" si="817"/>
        <v>7855.6271564666495</v>
      </c>
      <c r="CH33" s="17">
        <f t="shared" ca="1" si="817"/>
        <v>8171.4272718527827</v>
      </c>
      <c r="CI33" s="17">
        <f t="shared" ca="1" si="817"/>
        <v>8499.1832313438481</v>
      </c>
      <c r="CJ33" s="17">
        <f t="shared" ca="1" si="817"/>
        <v>8840.3683008149073</v>
      </c>
      <c r="CK33" s="17">
        <f t="shared" ca="1" si="817"/>
        <v>9191.9694642003305</v>
      </c>
      <c r="CL33" s="17">
        <f t="shared" ca="1" si="817"/>
        <v>13102.509104016046</v>
      </c>
      <c r="CM33" s="17">
        <f t="shared" ca="1" si="817"/>
        <v>19420.008440421359</v>
      </c>
    </row>
    <row r="34" spans="1:141" x14ac:dyDescent="0.25">
      <c r="A34" t="str">
        <f t="shared" si="17"/>
        <v>NAM</v>
      </c>
      <c r="C34" t="str">
        <f>IFERROR(VLOOKUP(D34,PoolPlan_EnergyProj!$C$89:$D$100,2,FALSE),C33)</f>
        <v>NAM</v>
      </c>
      <c r="D34" s="93" t="s">
        <v>19</v>
      </c>
      <c r="E34">
        <v>2010</v>
      </c>
      <c r="F34">
        <v>2015</v>
      </c>
      <c r="G34">
        <v>2020</v>
      </c>
      <c r="H34">
        <v>2030</v>
      </c>
      <c r="I34">
        <f>I29</f>
        <v>2050</v>
      </c>
      <c r="K34">
        <v>2010</v>
      </c>
      <c r="L34">
        <f>K34+1</f>
        <v>2011</v>
      </c>
      <c r="M34">
        <f t="shared" ref="M34:AF34" si="818">L34+1</f>
        <v>2012</v>
      </c>
      <c r="N34">
        <f t="shared" si="818"/>
        <v>2013</v>
      </c>
      <c r="O34">
        <f t="shared" si="818"/>
        <v>2014</v>
      </c>
      <c r="P34">
        <f t="shared" si="818"/>
        <v>2015</v>
      </c>
      <c r="Q34">
        <f t="shared" si="818"/>
        <v>2016</v>
      </c>
      <c r="R34">
        <f t="shared" si="818"/>
        <v>2017</v>
      </c>
      <c r="S34">
        <f t="shared" si="818"/>
        <v>2018</v>
      </c>
      <c r="T34">
        <f t="shared" si="818"/>
        <v>2019</v>
      </c>
      <c r="U34">
        <f t="shared" si="818"/>
        <v>2020</v>
      </c>
      <c r="V34">
        <f t="shared" si="818"/>
        <v>2021</v>
      </c>
      <c r="W34">
        <f t="shared" si="818"/>
        <v>2022</v>
      </c>
      <c r="X34">
        <f t="shared" si="818"/>
        <v>2023</v>
      </c>
      <c r="Y34">
        <f t="shared" si="818"/>
        <v>2024</v>
      </c>
      <c r="Z34">
        <f t="shared" si="818"/>
        <v>2025</v>
      </c>
      <c r="AA34">
        <f t="shared" si="818"/>
        <v>2026</v>
      </c>
      <c r="AB34">
        <f t="shared" si="818"/>
        <v>2027</v>
      </c>
      <c r="AC34">
        <f t="shared" si="818"/>
        <v>2028</v>
      </c>
      <c r="AD34">
        <f t="shared" si="818"/>
        <v>2029</v>
      </c>
      <c r="AE34">
        <f t="shared" si="818"/>
        <v>2030</v>
      </c>
      <c r="AF34">
        <f t="shared" si="818"/>
        <v>2031</v>
      </c>
      <c r="AG34">
        <v>2040</v>
      </c>
      <c r="AH34">
        <v>2050</v>
      </c>
      <c r="AL34">
        <f>E34</f>
        <v>2010</v>
      </c>
      <c r="AM34">
        <f>G34</f>
        <v>2020</v>
      </c>
      <c r="AN34">
        <f>H34</f>
        <v>2030</v>
      </c>
      <c r="AO34">
        <f>I34</f>
        <v>2050</v>
      </c>
      <c r="AQ34">
        <v>2010</v>
      </c>
      <c r="AR34">
        <f>AQ34+1</f>
        <v>2011</v>
      </c>
      <c r="AS34">
        <f t="shared" ref="AS34:BL34" si="819">AR34+1</f>
        <v>2012</v>
      </c>
      <c r="AT34">
        <f t="shared" si="819"/>
        <v>2013</v>
      </c>
      <c r="AU34">
        <f t="shared" si="819"/>
        <v>2014</v>
      </c>
      <c r="AV34">
        <f t="shared" si="819"/>
        <v>2015</v>
      </c>
      <c r="AW34">
        <f t="shared" si="819"/>
        <v>2016</v>
      </c>
      <c r="AX34">
        <f t="shared" si="819"/>
        <v>2017</v>
      </c>
      <c r="AY34">
        <f t="shared" si="819"/>
        <v>2018</v>
      </c>
      <c r="AZ34">
        <f t="shared" si="819"/>
        <v>2019</v>
      </c>
      <c r="BA34">
        <f t="shared" si="819"/>
        <v>2020</v>
      </c>
      <c r="BB34">
        <f t="shared" si="819"/>
        <v>2021</v>
      </c>
      <c r="BC34">
        <f t="shared" si="819"/>
        <v>2022</v>
      </c>
      <c r="BD34">
        <f t="shared" si="819"/>
        <v>2023</v>
      </c>
      <c r="BE34">
        <f t="shared" si="819"/>
        <v>2024</v>
      </c>
      <c r="BF34">
        <f t="shared" si="819"/>
        <v>2025</v>
      </c>
      <c r="BG34">
        <f t="shared" si="819"/>
        <v>2026</v>
      </c>
      <c r="BH34">
        <f t="shared" si="819"/>
        <v>2027</v>
      </c>
      <c r="BI34">
        <f t="shared" si="819"/>
        <v>2028</v>
      </c>
      <c r="BJ34">
        <f t="shared" si="819"/>
        <v>2029</v>
      </c>
      <c r="BK34">
        <f t="shared" si="819"/>
        <v>2030</v>
      </c>
      <c r="BL34">
        <f t="shared" si="819"/>
        <v>2031</v>
      </c>
      <c r="BM34">
        <v>2040</v>
      </c>
      <c r="BN34">
        <v>2050</v>
      </c>
      <c r="BP34">
        <f>AQ34</f>
        <v>2010</v>
      </c>
      <c r="BQ34">
        <f t="shared" ref="BQ34:CM34" si="820">AR34</f>
        <v>2011</v>
      </c>
      <c r="BR34">
        <f t="shared" si="820"/>
        <v>2012</v>
      </c>
      <c r="BS34">
        <f t="shared" si="820"/>
        <v>2013</v>
      </c>
      <c r="BT34">
        <f t="shared" si="820"/>
        <v>2014</v>
      </c>
      <c r="BU34">
        <f t="shared" si="820"/>
        <v>2015</v>
      </c>
      <c r="BV34">
        <f t="shared" si="820"/>
        <v>2016</v>
      </c>
      <c r="BW34">
        <f t="shared" si="820"/>
        <v>2017</v>
      </c>
      <c r="BX34">
        <f t="shared" si="820"/>
        <v>2018</v>
      </c>
      <c r="BY34">
        <f t="shared" si="820"/>
        <v>2019</v>
      </c>
      <c r="BZ34">
        <f t="shared" si="820"/>
        <v>2020</v>
      </c>
      <c r="CA34">
        <f t="shared" si="820"/>
        <v>2021</v>
      </c>
      <c r="CB34">
        <f t="shared" si="820"/>
        <v>2022</v>
      </c>
      <c r="CC34">
        <f t="shared" si="820"/>
        <v>2023</v>
      </c>
      <c r="CD34">
        <f t="shared" si="820"/>
        <v>2024</v>
      </c>
      <c r="CE34">
        <f t="shared" si="820"/>
        <v>2025</v>
      </c>
      <c r="CF34">
        <f t="shared" si="820"/>
        <v>2026</v>
      </c>
      <c r="CG34">
        <f t="shared" si="820"/>
        <v>2027</v>
      </c>
      <c r="CH34">
        <f t="shared" si="820"/>
        <v>2028</v>
      </c>
      <c r="CI34">
        <f t="shared" si="820"/>
        <v>2029</v>
      </c>
      <c r="CJ34">
        <f t="shared" si="820"/>
        <v>2030</v>
      </c>
      <c r="CK34">
        <f t="shared" si="820"/>
        <v>2031</v>
      </c>
      <c r="CL34">
        <f t="shared" si="820"/>
        <v>2040</v>
      </c>
      <c r="CM34">
        <f t="shared" si="820"/>
        <v>2050</v>
      </c>
      <c r="CO34">
        <f>BP34</f>
        <v>2010</v>
      </c>
      <c r="CP34">
        <f t="shared" ref="CP34:DD34" si="821">BQ34</f>
        <v>2011</v>
      </c>
      <c r="CQ34">
        <f t="shared" si="821"/>
        <v>2012</v>
      </c>
      <c r="CR34">
        <f t="shared" si="821"/>
        <v>2013</v>
      </c>
      <c r="CS34">
        <f t="shared" si="821"/>
        <v>2014</v>
      </c>
      <c r="CT34">
        <f t="shared" si="821"/>
        <v>2015</v>
      </c>
      <c r="CU34">
        <f t="shared" si="821"/>
        <v>2016</v>
      </c>
      <c r="CV34">
        <f t="shared" si="821"/>
        <v>2017</v>
      </c>
      <c r="CW34">
        <f t="shared" si="821"/>
        <v>2018</v>
      </c>
      <c r="CX34">
        <f t="shared" si="821"/>
        <v>2019</v>
      </c>
      <c r="CY34">
        <f t="shared" si="821"/>
        <v>2020</v>
      </c>
      <c r="CZ34">
        <f t="shared" si="821"/>
        <v>2021</v>
      </c>
      <c r="DA34">
        <f t="shared" si="821"/>
        <v>2022</v>
      </c>
      <c r="DB34">
        <f t="shared" si="821"/>
        <v>2023</v>
      </c>
      <c r="DC34">
        <f t="shared" si="821"/>
        <v>2024</v>
      </c>
      <c r="DD34">
        <f t="shared" si="821"/>
        <v>2025</v>
      </c>
      <c r="DE34">
        <f>CF34</f>
        <v>2026</v>
      </c>
      <c r="DF34">
        <f t="shared" ref="DF34:DG34" si="822">CG34</f>
        <v>2027</v>
      </c>
      <c r="DG34">
        <f t="shared" si="822"/>
        <v>2028</v>
      </c>
      <c r="DH34">
        <f>CI34</f>
        <v>2029</v>
      </c>
      <c r="DI34">
        <f t="shared" ref="DI34" si="823">CJ34</f>
        <v>2030</v>
      </c>
      <c r="DJ34">
        <f>CK34</f>
        <v>2031</v>
      </c>
      <c r="DK34">
        <f>CL34</f>
        <v>2040</v>
      </c>
      <c r="DL34">
        <f t="shared" ref="DL34" si="824">CM34</f>
        <v>2050</v>
      </c>
    </row>
    <row r="35" spans="1:141" x14ac:dyDescent="0.25">
      <c r="A35" t="str">
        <f t="shared" si="17"/>
        <v>IndustryNAM</v>
      </c>
      <c r="B35" t="str">
        <f t="shared" ref="B35:B37" si="825">B30</f>
        <v>Industry</v>
      </c>
      <c r="C35" t="str">
        <f>IFERROR(VLOOKUP(D35,PoolPlan_EnergyProj!$C$89:$D$100,2,FALSE),C34)</f>
        <v>NAM</v>
      </c>
      <c r="D35" t="s">
        <v>146</v>
      </c>
      <c r="E35" s="91">
        <v>0.6</v>
      </c>
      <c r="F35" s="91">
        <v>0.6</v>
      </c>
      <c r="G35" s="91">
        <v>0.55000000000000004</v>
      </c>
      <c r="H35" s="91">
        <v>0.55000000000000004</v>
      </c>
      <c r="I35" s="91">
        <v>0.5</v>
      </c>
      <c r="K35" s="91">
        <f>E35</f>
        <v>0.6</v>
      </c>
      <c r="L35" s="91">
        <f>($P35-$K35)/($P$4-$K$4)+K35</f>
        <v>0.6</v>
      </c>
      <c r="M35" s="91">
        <f t="shared" ref="M35:O35" si="826">($P35-$K35)/($P$4-$K$4)+L35</f>
        <v>0.6</v>
      </c>
      <c r="N35" s="91">
        <f t="shared" si="826"/>
        <v>0.6</v>
      </c>
      <c r="O35" s="91">
        <f t="shared" si="826"/>
        <v>0.6</v>
      </c>
      <c r="P35" s="91">
        <f>F35</f>
        <v>0.6</v>
      </c>
      <c r="Q35" s="91">
        <f>($U35-$P35)/($U$4-$P$4)+P35</f>
        <v>0.59</v>
      </c>
      <c r="R35" s="91">
        <f t="shared" ref="R35:T35" si="827">($U35-$P35)/($U$4-$P$4)+Q35</f>
        <v>0.57999999999999996</v>
      </c>
      <c r="S35" s="91">
        <f t="shared" si="827"/>
        <v>0.56999999999999995</v>
      </c>
      <c r="T35" s="91">
        <f t="shared" si="827"/>
        <v>0.55999999999999994</v>
      </c>
      <c r="U35" s="91">
        <f>G35</f>
        <v>0.55000000000000004</v>
      </c>
      <c r="V35" s="91">
        <f>(AE35-U35)/(AE$4-U$4)+U35</f>
        <v>0.55000000000000004</v>
      </c>
      <c r="W35" s="91">
        <f>(AE35-U35)/(AE$4-U$4)+V35</f>
        <v>0.55000000000000004</v>
      </c>
      <c r="X35" s="91">
        <f>(AE35-U35)/(AE$4-U$4)+W35</f>
        <v>0.55000000000000004</v>
      </c>
      <c r="Y35" s="91">
        <f>(AE35-U35)/(AE$4-U$4)+X35</f>
        <v>0.55000000000000004</v>
      </c>
      <c r="Z35" s="91">
        <f>(AE35-U35)/(AE$4-U$4)+Y35</f>
        <v>0.55000000000000004</v>
      </c>
      <c r="AA35" s="91">
        <f>(AE35-U35)/(AE$4-U$4)+Z35</f>
        <v>0.55000000000000004</v>
      </c>
      <c r="AB35" s="91">
        <f>(AE35-U35)/(AE$4-U$4)+AA35</f>
        <v>0.55000000000000004</v>
      </c>
      <c r="AC35" s="91">
        <f>(AE35-U35)/(AE$4-U$4)+AB35</f>
        <v>0.55000000000000004</v>
      </c>
      <c r="AD35" s="91">
        <f>(AE35-U35)/(AE$4-U$4)+AC35</f>
        <v>0.55000000000000004</v>
      </c>
      <c r="AE35" s="91">
        <f>H35</f>
        <v>0.55000000000000004</v>
      </c>
      <c r="AF35" s="91">
        <f>(AH35-AE35)/(AH$4-AE$4)+AE35</f>
        <v>0.5475000000000001</v>
      </c>
      <c r="AG35" s="91">
        <f>(AE35+AH35)/2</f>
        <v>0.52500000000000002</v>
      </c>
      <c r="AH35" s="91">
        <f>I35</f>
        <v>0.5</v>
      </c>
      <c r="AJ35" s="94">
        <f>SUMIF(AR2008_Stats!$A$18:$A$29,C35,AR2008_Stats!$T$18:$T$29)</f>
        <v>0.12880000000000003</v>
      </c>
      <c r="AK35" s="91">
        <f>SUMIF(AR2008_Stats!$A$18:$A$29,C35,AR2008_Stats!$R$18:$R$29)</f>
        <v>3.2000000000000001E-2</v>
      </c>
      <c r="AL35" s="83">
        <v>0.02</v>
      </c>
      <c r="AM35" s="91">
        <v>0.02</v>
      </c>
      <c r="AN35" s="91">
        <v>0.01</v>
      </c>
      <c r="AO35" s="91">
        <v>0.01</v>
      </c>
      <c r="AP35" s="95" t="str">
        <f>AQ35&amp;" "&amp;AR35&amp;" "&amp;AS35&amp;" "&amp;AT35&amp;" "&amp;AU35&amp;" "&amp;AV35&amp;" "&amp;AW35&amp;" "&amp;AX35&amp;" "&amp;AY35&amp;" "&amp;AZ35&amp;" "&amp;BA35&amp;" "&amp;BB35&amp;" "&amp;BC35&amp;" "&amp;BD35&amp;" "&amp;BE35&amp;" "&amp;BF35&amp;" "&amp;BG35&amp;" "&amp;BH35&amp;" "&amp;BI35&amp;" "&amp;BJ35&amp;" "&amp;BK35&amp;" "&amp;BL35&amp;" "&amp;BM35&amp;" "&amp;BN35&amp;" "</f>
        <v xml:space="preserve">0.02 0.02 0.02 0.02 0.02 0.02 0.02 0.02 0.02 0.02 0.02 0.019 0.018 0.017 0.016 0.015 0.014 0.013 0.012 0.011 0.01 0.01 0.01 0.01 </v>
      </c>
      <c r="AQ35" s="91">
        <f>AL35</f>
        <v>0.02</v>
      </c>
      <c r="AR35" s="91">
        <f>(BA35-AQ35)/(BA$4-AQ$4)+AQ35</f>
        <v>0.02</v>
      </c>
      <c r="AS35" s="91">
        <f>(BA35-AQ35)/(BA$4-AQ$4)+AR35</f>
        <v>0.02</v>
      </c>
      <c r="AT35" s="91">
        <f>(BA35-AQ35)/(BA$4-AQ$4)+AS35</f>
        <v>0.02</v>
      </c>
      <c r="AU35" s="91">
        <f>(BA35-AQ35)/(BA$4-AQ$4)+AT35</f>
        <v>0.02</v>
      </c>
      <c r="AV35" s="91">
        <f>(BA35-AQ35)/(BA$4-AQ$4)+AU35</f>
        <v>0.02</v>
      </c>
      <c r="AW35" s="91">
        <f>(BA35-AQ35)/(BA$4-AQ$4)+AV35</f>
        <v>0.02</v>
      </c>
      <c r="AX35" s="91">
        <f>(BA35-AQ35)/(BA$4-AQ$4)+AW35</f>
        <v>0.02</v>
      </c>
      <c r="AY35" s="91">
        <f>(BA35-AQ35)/(BA$4-AQ$4)+AX35</f>
        <v>0.02</v>
      </c>
      <c r="AZ35" s="91">
        <f>(BA35-AQ35)/(BA$4-AQ$4)+AY35</f>
        <v>0.02</v>
      </c>
      <c r="BA35" s="91">
        <f>AM35</f>
        <v>0.02</v>
      </c>
      <c r="BB35" s="91">
        <f>(BK35-BA35)/(BK$4-BA$4)+BA35</f>
        <v>1.9E-2</v>
      </c>
      <c r="BC35" s="91">
        <f>(BK35-BA35)/(BK$4-BA$4)+BB35</f>
        <v>1.7999999999999999E-2</v>
      </c>
      <c r="BD35" s="91">
        <f>(BK35-BA35)/(BK$4-BA$4)+BC35</f>
        <v>1.6999999999999998E-2</v>
      </c>
      <c r="BE35" s="91">
        <f>(BK35-BA35)/(BK$4-BA$4)+BD35</f>
        <v>1.5999999999999997E-2</v>
      </c>
      <c r="BF35" s="91">
        <f>(BK35-BA35)/(BK$4-BA$4)+BE35</f>
        <v>1.4999999999999996E-2</v>
      </c>
      <c r="BG35" s="91">
        <f>(BK35-BA35)/(BK$4-BA$4)+BF35</f>
        <v>1.3999999999999995E-2</v>
      </c>
      <c r="BH35" s="91">
        <f>(BK35-BA35)/(BK$4-BA$4)+BG35</f>
        <v>1.2999999999999994E-2</v>
      </c>
      <c r="BI35" s="91">
        <f>(BK35-BA35)/(BK$4-BA$4)+BH35</f>
        <v>1.1999999999999993E-2</v>
      </c>
      <c r="BJ35" s="91">
        <f>(BK35-BA35)/(BK$4-BA$4)+BI35</f>
        <v>1.0999999999999992E-2</v>
      </c>
      <c r="BK35" s="91">
        <f>AN35</f>
        <v>0.01</v>
      </c>
      <c r="BL35" s="91">
        <f>(BN35-BK35)/(BN$4-BK$4)+BK35</f>
        <v>0.01</v>
      </c>
      <c r="BM35" s="91">
        <f>(BK35+BN35)/2</f>
        <v>0.01</v>
      </c>
      <c r="BN35" s="91">
        <f>AO35</f>
        <v>0.01</v>
      </c>
      <c r="BP35" s="17">
        <f ca="1">K35*K38</f>
        <v>2188.7999999999997</v>
      </c>
      <c r="BQ35" s="17">
        <f t="shared" ref="BQ35" ca="1" si="828">L35*L38</f>
        <v>2225.3775401069515</v>
      </c>
      <c r="BR35" s="17">
        <f t="shared" ref="BR35" ca="1" si="829">M35*M38</f>
        <v>2280.2438502673795</v>
      </c>
      <c r="BS35" s="17">
        <f t="shared" ref="BS35" ca="1" si="830">N35*N38</f>
        <v>2322.6737967914437</v>
      </c>
      <c r="BT35" s="17">
        <f t="shared" ref="BT35" ca="1" si="831">O35*O38</f>
        <v>2381.9294117647059</v>
      </c>
      <c r="BU35" s="17">
        <f t="shared" ref="BU35" ca="1" si="832">P35*P38</f>
        <v>2452.8898395721922</v>
      </c>
      <c r="BV35" s="17">
        <f t="shared" ref="BV35" ca="1" si="833">Q35*Q38</f>
        <v>2489.6990374331544</v>
      </c>
      <c r="BW35" s="17">
        <f t="shared" ref="BW35" ca="1" si="834">R35*R38</f>
        <v>2523.8746524064168</v>
      </c>
      <c r="BX35" s="17">
        <f t="shared" ref="BX35" ca="1" si="835">S35*S38</f>
        <v>2563.061390374331</v>
      </c>
      <c r="BY35" s="17">
        <f t="shared" ref="BY35" ca="1" si="836">T35*T38</f>
        <v>2602.7602139037431</v>
      </c>
      <c r="BZ35" s="17">
        <f t="shared" ref="BZ35" ca="1" si="837">U35*U38</f>
        <v>2642.1176470588239</v>
      </c>
      <c r="CA35" s="17">
        <f t="shared" ref="CA35" ca="1" si="838">V35*V38</f>
        <v>2728.623529411765</v>
      </c>
      <c r="CB35" s="17">
        <f t="shared" ref="CB35" ca="1" si="839">W35*W38</f>
        <v>2818.4823529411765</v>
      </c>
      <c r="CC35" s="17">
        <f t="shared" ref="CC35" ca="1" si="840">X35*X38</f>
        <v>2911.0235294117647</v>
      </c>
      <c r="CD35" s="17">
        <f t="shared" ref="CD35" ca="1" si="841">Y35*Y38</f>
        <v>3007.5882352941171</v>
      </c>
      <c r="CE35" s="17">
        <f t="shared" ref="CE35" ca="1" si="842">Z35*Z38</f>
        <v>3104.15294117647</v>
      </c>
      <c r="CF35" s="17">
        <f t="shared" ref="CF35" ca="1" si="843">AA35*AA38</f>
        <v>3213.4610124119881</v>
      </c>
      <c r="CG35" s="17">
        <f t="shared" ref="CG35" ca="1" si="844">AB35*AB38</f>
        <v>3316.456394771119</v>
      </c>
      <c r="CH35" s="17">
        <f t="shared" ref="CH35" ca="1" si="845">AC35*AC38</f>
        <v>3421.2056780562702</v>
      </c>
      <c r="CI35" s="17">
        <f t="shared" ref="CI35" ca="1" si="846">AD35*AD38</f>
        <v>3532.5579409506313</v>
      </c>
      <c r="CJ35" s="17">
        <f t="shared" ref="CJ35" ca="1" si="847">AE35*AE38</f>
        <v>3634.2985141155791</v>
      </c>
      <c r="CK35" s="17">
        <f t="shared" ref="CK35" ca="1" si="848">AF35*AF38</f>
        <v>3816.467396385116</v>
      </c>
      <c r="CL35" s="17">
        <f t="shared" ref="CL35" ca="1" si="849">AG35*AG38</f>
        <v>4704.5045089565538</v>
      </c>
      <c r="CM35" s="17">
        <f t="shared" ref="CM35" ca="1" si="850">AH35*AH38</f>
        <v>6076.6532276844064</v>
      </c>
      <c r="CN35" s="95" t="str">
        <f t="shared" ref="CN35:CN37" ca="1" si="851">CO35&amp;" "&amp;CP35&amp;" "&amp;CQ35&amp;" "&amp;CR35&amp;" "&amp;CS35&amp;" "&amp;CT35&amp;" "&amp;CU35&amp;" "&amp;CV35&amp;" "&amp;CW35&amp;" "&amp;CX35&amp;" "&amp;CY35&amp;" "&amp;CZ35&amp;" "&amp;DA35&amp;" "&amp;DB35&amp;" "&amp;DC35&amp;" "&amp;DD35&amp;" "&amp;DE35&amp;" "&amp;DF35&amp;" "&amp;DG35&amp;" "&amp;DH35&amp;" "&amp;DI35&amp;" "&amp;DJ35&amp;" "&amp;DK35&amp;" "&amp;DL35&amp;" "</f>
        <v xml:space="preserve">237 241 246.9 251.5 257.9 265.6 269.6 273.3 277.6 281.9 286.1 295.8 305.8 316.2 327 337.9 350.1 361.7 373.5 386.1 397.6 417.5 514.7 664.8 </v>
      </c>
      <c r="CO35" s="96">
        <f ca="1">ROUND(BP35*(1-AQ35)*(1-$AK35)/8.76*(1+CO$2),1)</f>
        <v>237</v>
      </c>
      <c r="CP35" s="96">
        <f t="shared" ref="CP35:CP37" ca="1" si="852">ROUND(BQ35*(1-AR35)*(1-$AK35)/8.76*(1+CP$2),1)</f>
        <v>241</v>
      </c>
      <c r="CQ35" s="96">
        <f t="shared" ref="CQ35:CQ37" ca="1" si="853">ROUND(BR35*(1-AS35)*(1-$AK35)/8.76*(1+CQ$2),1)</f>
        <v>246.9</v>
      </c>
      <c r="CR35" s="96">
        <f t="shared" ref="CR35:CR37" ca="1" si="854">ROUND(BS35*(1-AT35)*(1-$AK35)/8.76*(1+CR$2),1)</f>
        <v>251.5</v>
      </c>
      <c r="CS35" s="96">
        <f t="shared" ref="CS35:CS37" ca="1" si="855">ROUND(BT35*(1-AU35)*(1-$AK35)/8.76*(1+CS$2),1)</f>
        <v>257.89999999999998</v>
      </c>
      <c r="CT35" s="96">
        <f t="shared" ref="CT35:CT37" ca="1" si="856">ROUND(BU35*(1-AV35)*(1-$AK35)/8.76*(1+CT$2),1)</f>
        <v>265.60000000000002</v>
      </c>
      <c r="CU35" s="96">
        <f t="shared" ref="CU35:CU37" ca="1" si="857">ROUND(BV35*(1-AW35)*(1-$AK35)/8.76*(1+CU$2),1)</f>
        <v>269.60000000000002</v>
      </c>
      <c r="CV35" s="96">
        <f t="shared" ref="CV35:CV37" ca="1" si="858">ROUND(BW35*(1-AX35)*(1-$AK35)/8.76*(1+CV$2),1)</f>
        <v>273.3</v>
      </c>
      <c r="CW35" s="96">
        <f t="shared" ref="CW35:CW37" ca="1" si="859">ROUND(BX35*(1-AY35)*(1-$AK35)/8.76*(1+CW$2),1)</f>
        <v>277.60000000000002</v>
      </c>
      <c r="CX35" s="96">
        <f t="shared" ref="CX35:CX37" ca="1" si="860">ROUND(BY35*(1-AZ35)*(1-$AK35)/8.76*(1+CX$2),1)</f>
        <v>281.89999999999998</v>
      </c>
      <c r="CY35" s="96">
        <f t="shared" ref="CY35:CY37" ca="1" si="861">ROUND(BZ35*(1-BA35)*(1-$AK35)/8.76*(1+CY$2),1)</f>
        <v>286.10000000000002</v>
      </c>
      <c r="CZ35" s="96">
        <f t="shared" ref="CZ35:CZ37" ca="1" si="862">ROUND(CA35*(1-BB35)*(1-$AK35)/8.76*(1+CZ$2),1)</f>
        <v>295.8</v>
      </c>
      <c r="DA35" s="96">
        <f t="shared" ref="DA35:DA37" ca="1" si="863">ROUND(CB35*(1-BC35)*(1-$AK35)/8.76*(1+DA$2),1)</f>
        <v>305.8</v>
      </c>
      <c r="DB35" s="96">
        <f t="shared" ref="DB35:DB37" ca="1" si="864">ROUND(CC35*(1-BD35)*(1-$AK35)/8.76*(1+DB$2),1)</f>
        <v>316.2</v>
      </c>
      <c r="DC35" s="96">
        <f t="shared" ref="DC35:DC37" ca="1" si="865">ROUND(CD35*(1-BE35)*(1-$AK35)/8.76*(1+DC$2),1)</f>
        <v>327</v>
      </c>
      <c r="DD35" s="96">
        <f t="shared" ref="DD35:DD37" ca="1" si="866">ROUND(CE35*(1-BF35)*(1-$AK35)/8.76*(1+DD$2),1)</f>
        <v>337.9</v>
      </c>
      <c r="DE35" s="96">
        <f t="shared" ref="DE35:DE37" ca="1" si="867">ROUND(CF35*(1-BG35)*(1-$AK35)/8.76*(1+DE$2),1)</f>
        <v>350.1</v>
      </c>
      <c r="DF35" s="96">
        <f t="shared" ref="DF35:DF37" ca="1" si="868">ROUND(CG35*(1-BH35)*(1-$AK35)/8.76*(1+DF$2),1)</f>
        <v>361.7</v>
      </c>
      <c r="DG35" s="96">
        <f t="shared" ref="DG35:DG37" ca="1" si="869">ROUND(CH35*(1-BI35)*(1-$AK35)/8.76*(1+DG$2),1)</f>
        <v>373.5</v>
      </c>
      <c r="DH35" s="96">
        <f t="shared" ref="DH35:DH37" ca="1" si="870">ROUND(CI35*(1-BJ35)*(1-$AK35)/8.76*(1+DH$2),1)</f>
        <v>386.1</v>
      </c>
      <c r="DI35" s="96">
        <f t="shared" ref="DI35:DI37" ca="1" si="871">ROUND(CJ35*(1-BK35)*(1-$AK35)/8.76*(1+DI$2),1)</f>
        <v>397.6</v>
      </c>
      <c r="DJ35" s="96">
        <f t="shared" ref="DJ35:DJ37" ca="1" si="872">ROUND(CK35*(1-BL35)*(1-$AK35)/8.76*(1+DJ$2),1)</f>
        <v>417.5</v>
      </c>
      <c r="DK35" s="96">
        <f t="shared" ref="DK35:DK37" ca="1" si="873">ROUND(CL35*(1-BM35)*(1-$AK35)/8.76*(1+DK$2),1)</f>
        <v>514.70000000000005</v>
      </c>
      <c r="DL35" s="96">
        <f t="shared" ref="DL35:DL37" ca="1" si="874">ROUND(CM35*(1-BN35)*(1-$AK35)/8.76*(1+DL$2),1)</f>
        <v>664.8</v>
      </c>
      <c r="DM35" s="95" t="str">
        <f t="shared" ref="DM35:DM37" si="875">DN35&amp;" "&amp;DO35&amp;" "&amp;DP35&amp;" "&amp;DQ35&amp;" "&amp;DR35&amp;" "&amp;DS35&amp;" "&amp;DT35&amp;" "&amp;DU35&amp;" "&amp;DV35&amp;" "&amp;DW35&amp;" "&amp;DX35&amp;" "&amp;DY35&amp;" "&amp;DZ35&amp;" "&amp;EA35&amp;" "&amp;EB35&amp;" "&amp;EC35&amp;" "&amp;ED35&amp;" "&amp;EE35&amp;" "&amp;EF35&amp;" "&amp;EG35&amp;" "&amp;EH35&amp;" "&amp;EI35&amp;" "&amp;EJ35&amp;" "&amp;EK35&amp;" "</f>
        <v xml:space="preserve">0.98 0.98 0.98 0.98 0.98 0.98 0.98 0.98 0.98 0.98 0.98 0.981 0.982 0.983 0.984 0.985 0.986 0.987 0.988 0.989 0.99 0.99 0.99 0.99 </v>
      </c>
      <c r="DN35" s="91">
        <f>1-AQ35</f>
        <v>0.98</v>
      </c>
      <c r="DO35" s="91">
        <f t="shared" ref="DO35:ED37" si="876">1-AR35</f>
        <v>0.98</v>
      </c>
      <c r="DP35" s="91">
        <f t="shared" si="876"/>
        <v>0.98</v>
      </c>
      <c r="DQ35" s="91">
        <f t="shared" si="876"/>
        <v>0.98</v>
      </c>
      <c r="DR35" s="91">
        <f t="shared" si="876"/>
        <v>0.98</v>
      </c>
      <c r="DS35" s="91">
        <f t="shared" si="876"/>
        <v>0.98</v>
      </c>
      <c r="DT35" s="91">
        <f t="shared" si="876"/>
        <v>0.98</v>
      </c>
      <c r="DU35" s="91">
        <f t="shared" si="876"/>
        <v>0.98</v>
      </c>
      <c r="DV35" s="91">
        <f t="shared" si="876"/>
        <v>0.98</v>
      </c>
      <c r="DW35" s="91">
        <f t="shared" si="876"/>
        <v>0.98</v>
      </c>
      <c r="DX35" s="91">
        <f t="shared" si="876"/>
        <v>0.98</v>
      </c>
      <c r="DY35" s="91">
        <f t="shared" si="876"/>
        <v>0.98099999999999998</v>
      </c>
      <c r="DZ35" s="91">
        <f t="shared" si="876"/>
        <v>0.98199999999999998</v>
      </c>
      <c r="EA35" s="91">
        <f t="shared" si="876"/>
        <v>0.98299999999999998</v>
      </c>
      <c r="EB35" s="91">
        <f t="shared" si="876"/>
        <v>0.98399999999999999</v>
      </c>
      <c r="EC35" s="91">
        <f t="shared" si="876"/>
        <v>0.98499999999999999</v>
      </c>
      <c r="ED35" s="91">
        <f t="shared" si="876"/>
        <v>0.98599999999999999</v>
      </c>
      <c r="EE35" s="91">
        <f t="shared" ref="EE35:EK37" si="877">1-BH35</f>
        <v>0.98699999999999999</v>
      </c>
      <c r="EF35" s="91">
        <f t="shared" si="877"/>
        <v>0.98799999999999999</v>
      </c>
      <c r="EG35" s="91">
        <f t="shared" si="877"/>
        <v>0.98899999999999999</v>
      </c>
      <c r="EH35" s="91">
        <f t="shared" si="877"/>
        <v>0.99</v>
      </c>
      <c r="EI35" s="91">
        <f t="shared" si="877"/>
        <v>0.99</v>
      </c>
      <c r="EJ35" s="91">
        <f t="shared" si="877"/>
        <v>0.99</v>
      </c>
      <c r="EK35" s="91">
        <f t="shared" si="877"/>
        <v>0.99</v>
      </c>
    </row>
    <row r="36" spans="1:141" x14ac:dyDescent="0.25">
      <c r="A36" t="str">
        <f t="shared" si="17"/>
        <v>UrbanNAM</v>
      </c>
      <c r="B36" t="str">
        <f t="shared" si="825"/>
        <v>Urban</v>
      </c>
      <c r="C36" t="str">
        <f>IFERROR(VLOOKUP(D36,PoolPlan_EnergyProj!$C$89:$D$100,2,FALSE),C35)</f>
        <v>NAM</v>
      </c>
      <c r="D36" t="s">
        <v>148</v>
      </c>
      <c r="E36" s="91">
        <f>1-E35-E37</f>
        <v>0.38</v>
      </c>
      <c r="F36" s="91">
        <f>1-F35-F37</f>
        <v>0.37</v>
      </c>
      <c r="G36" s="91">
        <f t="shared" ref="G36:I36" si="878">1-G35-G37</f>
        <v>0.39999999999999997</v>
      </c>
      <c r="H36" s="91">
        <f t="shared" si="878"/>
        <v>0.39999999999999997</v>
      </c>
      <c r="I36" s="91">
        <f t="shared" si="878"/>
        <v>0.45</v>
      </c>
      <c r="K36" s="91">
        <f t="shared" ref="K36:K37" si="879">E36</f>
        <v>0.38</v>
      </c>
      <c r="L36" s="91">
        <f t="shared" ref="L36:O37" si="880">($P36-$K36)/($P$4-$K$4)+K36</f>
        <v>0.378</v>
      </c>
      <c r="M36" s="91">
        <f t="shared" si="880"/>
        <v>0.376</v>
      </c>
      <c r="N36" s="91">
        <f t="shared" si="880"/>
        <v>0.374</v>
      </c>
      <c r="O36" s="91">
        <f t="shared" si="880"/>
        <v>0.372</v>
      </c>
      <c r="P36" s="91">
        <f t="shared" ref="P36:P37" si="881">F36</f>
        <v>0.37</v>
      </c>
      <c r="Q36" s="91">
        <f t="shared" ref="Q36:T37" si="882">($U36-$P36)/($U$4-$P$4)+P36</f>
        <v>0.376</v>
      </c>
      <c r="R36" s="91">
        <f t="shared" si="882"/>
        <v>0.38200000000000001</v>
      </c>
      <c r="S36" s="91">
        <f t="shared" si="882"/>
        <v>0.38800000000000001</v>
      </c>
      <c r="T36" s="91">
        <f t="shared" si="882"/>
        <v>0.39400000000000002</v>
      </c>
      <c r="U36" s="91">
        <f t="shared" ref="U36:U37" si="883">G36</f>
        <v>0.39999999999999997</v>
      </c>
      <c r="V36" s="91">
        <f t="shared" ref="V36:V37" si="884">(AE36-U36)/(AE$4-U$4)+U36</f>
        <v>0.39999999999999997</v>
      </c>
      <c r="W36" s="91">
        <f t="shared" ref="W36:W37" si="885">(AE36-U36)/(AE$4-U$4)+V36</f>
        <v>0.39999999999999997</v>
      </c>
      <c r="X36" s="91">
        <f t="shared" ref="X36:X37" si="886">(AE36-U36)/(AE$4-U$4)+W36</f>
        <v>0.39999999999999997</v>
      </c>
      <c r="Y36" s="91">
        <f t="shared" ref="Y36:Y37" si="887">(AE36-U36)/(AE$4-U$4)+X36</f>
        <v>0.39999999999999997</v>
      </c>
      <c r="Z36" s="91">
        <f t="shared" ref="Z36:Z37" si="888">(AE36-U36)/(AE$4-U$4)+Y36</f>
        <v>0.39999999999999997</v>
      </c>
      <c r="AA36" s="91">
        <f t="shared" ref="AA36:AA37" si="889">(AE36-U36)/(AE$4-U$4)+Z36</f>
        <v>0.39999999999999997</v>
      </c>
      <c r="AB36" s="91">
        <f t="shared" ref="AB36:AB37" si="890">(AE36-U36)/(AE$4-U$4)+AA36</f>
        <v>0.39999999999999997</v>
      </c>
      <c r="AC36" s="91">
        <f t="shared" ref="AC36:AC37" si="891">(AE36-U36)/(AE$4-U$4)+AB36</f>
        <v>0.39999999999999997</v>
      </c>
      <c r="AD36" s="91">
        <f t="shared" ref="AD36:AD37" si="892">(AE36-U36)/(AE$4-U$4)+AC36</f>
        <v>0.39999999999999997</v>
      </c>
      <c r="AE36" s="91">
        <f t="shared" ref="AE36:AE37" si="893">H36</f>
        <v>0.39999999999999997</v>
      </c>
      <c r="AF36" s="91">
        <f>(AH36-AE36)/(AH$4-AE$4)+AE36</f>
        <v>0.40249999999999997</v>
      </c>
      <c r="AG36" s="91">
        <f t="shared" ref="AG36:AG37" si="894">(AE36+AH36)/2</f>
        <v>0.42499999999999999</v>
      </c>
      <c r="AH36" s="91">
        <f>I36</f>
        <v>0.45</v>
      </c>
      <c r="AJ36" s="91" t="s">
        <v>149</v>
      </c>
      <c r="AK36" s="91">
        <f>AK35</f>
        <v>3.2000000000000001E-2</v>
      </c>
      <c r="AL36" s="97">
        <v>0.2</v>
      </c>
      <c r="AM36" s="91">
        <v>0.1</v>
      </c>
      <c r="AN36" s="91">
        <v>0.08</v>
      </c>
      <c r="AO36" s="91">
        <f>AN36</f>
        <v>0.08</v>
      </c>
      <c r="AP36" s="95" t="str">
        <f>AQ36&amp;" "&amp;AR36&amp;" "&amp;AS36&amp;" "&amp;AT36&amp;" "&amp;AU36&amp;" "&amp;AV36&amp;" "&amp;AW36&amp;" "&amp;AX36&amp;" "&amp;AY36&amp;" "&amp;AZ36&amp;" "&amp;BA36&amp;" "&amp;BB36&amp;" "&amp;BC36&amp;" "&amp;BD36&amp;" "&amp;BE36&amp;" "&amp;BF36&amp;" "&amp;BG36&amp;" "&amp;BH36&amp;" "&amp;BI36&amp;" "&amp;BJ36&amp;" "&amp;BK36&amp;" "&amp;BL36&amp;" "&amp;BM36&amp;" "&amp;BN36&amp;" "</f>
        <v xml:space="preserve">0.2 0.19 0.18 0.17 0.16 0.15 0.14 0.13 0.12 0.11 0.1 0.098 0.096 0.094 0.092 0.09 0.088 0.086 0.084 0.082 0.08 0.08 0.08 0.08 </v>
      </c>
      <c r="AQ36" s="91">
        <f t="shared" ref="AQ36:AQ37" si="895">AL36</f>
        <v>0.2</v>
      </c>
      <c r="AR36" s="91">
        <f t="shared" ref="AR36:AR37" si="896">(BA36-AQ36)/(BA$4-AQ$4)+AQ36</f>
        <v>0.19</v>
      </c>
      <c r="AS36" s="91">
        <f t="shared" ref="AS36:AS37" si="897">(BA36-AQ36)/(BA$4-AQ$4)+AR36</f>
        <v>0.18</v>
      </c>
      <c r="AT36" s="91">
        <f t="shared" ref="AT36:AT37" si="898">(BA36-AQ36)/(BA$4-AQ$4)+AS36</f>
        <v>0.16999999999999998</v>
      </c>
      <c r="AU36" s="91">
        <f t="shared" ref="AU36:AU37" si="899">(BA36-AQ36)/(BA$4-AQ$4)+AT36</f>
        <v>0.15999999999999998</v>
      </c>
      <c r="AV36" s="91">
        <f t="shared" ref="AV36:AV37" si="900">(BA36-AQ36)/(BA$4-AQ$4)+AU36</f>
        <v>0.14999999999999997</v>
      </c>
      <c r="AW36" s="91">
        <f t="shared" ref="AW36:AW37" si="901">(BA36-AQ36)/(BA$4-AQ$4)+AV36</f>
        <v>0.13999999999999996</v>
      </c>
      <c r="AX36" s="91">
        <f t="shared" ref="AX36:AX37" si="902">(BA36-AQ36)/(BA$4-AQ$4)+AW36</f>
        <v>0.12999999999999995</v>
      </c>
      <c r="AY36" s="91">
        <f t="shared" ref="AY36:AY37" si="903">(BA36-AQ36)/(BA$4-AQ$4)+AX36</f>
        <v>0.11999999999999995</v>
      </c>
      <c r="AZ36" s="91">
        <f t="shared" ref="AZ36:AZ37" si="904">(BA36-AQ36)/(BA$4-AQ$4)+AY36</f>
        <v>0.10999999999999996</v>
      </c>
      <c r="BA36" s="91">
        <f t="shared" ref="BA36:BA37" si="905">AM36</f>
        <v>0.1</v>
      </c>
      <c r="BB36" s="91">
        <f t="shared" ref="BB36:BB37" si="906">(BK36-BA36)/(BK$4-BA$4)+BA36</f>
        <v>9.8000000000000004E-2</v>
      </c>
      <c r="BC36" s="91">
        <f t="shared" ref="BC36:BC37" si="907">(BK36-BA36)/(BK$4-BA$4)+BB36</f>
        <v>9.6000000000000002E-2</v>
      </c>
      <c r="BD36" s="91">
        <f t="shared" ref="BD36:BD37" si="908">(BK36-BA36)/(BK$4-BA$4)+BC36</f>
        <v>9.4E-2</v>
      </c>
      <c r="BE36" s="91">
        <f t="shared" ref="BE36:BE37" si="909">(BK36-BA36)/(BK$4-BA$4)+BD36</f>
        <v>9.1999999999999998E-2</v>
      </c>
      <c r="BF36" s="91">
        <f t="shared" ref="BF36:BF37" si="910">(BK36-BA36)/(BK$4-BA$4)+BE36</f>
        <v>0.09</v>
      </c>
      <c r="BG36" s="91">
        <f t="shared" ref="BG36:BG37" si="911">(BK36-BA36)/(BK$4-BA$4)+BF36</f>
        <v>8.7999999999999995E-2</v>
      </c>
      <c r="BH36" s="91">
        <f t="shared" ref="BH36:BH37" si="912">(BK36-BA36)/(BK$4-BA$4)+BG36</f>
        <v>8.5999999999999993E-2</v>
      </c>
      <c r="BI36" s="91">
        <f t="shared" ref="BI36:BI37" si="913">(BK36-BA36)/(BK$4-BA$4)+BH36</f>
        <v>8.3999999999999991E-2</v>
      </c>
      <c r="BJ36" s="91">
        <f t="shared" ref="BJ36:BJ37" si="914">(BK36-BA36)/(BK$4-BA$4)+BI36</f>
        <v>8.199999999999999E-2</v>
      </c>
      <c r="BK36" s="91">
        <f t="shared" ref="BK36:BK37" si="915">AN36</f>
        <v>0.08</v>
      </c>
      <c r="BL36" s="91">
        <f>(BN36-BK36)/(BN$4-BK$4)+BK36</f>
        <v>0.08</v>
      </c>
      <c r="BM36" s="91">
        <f t="shared" ref="BM36:BM37" si="916">(BK36+BN36)/2</f>
        <v>0.08</v>
      </c>
      <c r="BN36" s="91">
        <f>AO36</f>
        <v>0.08</v>
      </c>
      <c r="BP36" s="17">
        <f ca="1">K36*K38</f>
        <v>1386.24</v>
      </c>
      <c r="BQ36" s="17">
        <f t="shared" ref="BQ36" ca="1" si="917">L36*L38</f>
        <v>1401.9878502673796</v>
      </c>
      <c r="BR36" s="17">
        <f t="shared" ref="BR36" ca="1" si="918">M36*M38</f>
        <v>1428.9528128342245</v>
      </c>
      <c r="BS36" s="17">
        <f t="shared" ref="BS36" ca="1" si="919">N36*N38</f>
        <v>1447.8</v>
      </c>
      <c r="BT36" s="17">
        <f t="shared" ref="BT36" ca="1" si="920">O36*O38</f>
        <v>1476.7962352941177</v>
      </c>
      <c r="BU36" s="17">
        <f t="shared" ref="BU36" ca="1" si="921">P36*P38</f>
        <v>1512.6154010695186</v>
      </c>
      <c r="BV36" s="17">
        <f t="shared" ref="BV36" ca="1" si="922">Q36*Q38</f>
        <v>1586.6556577540105</v>
      </c>
      <c r="BW36" s="17">
        <f t="shared" ref="BW36" ca="1" si="923">R36*R38</f>
        <v>1662.2760641711229</v>
      </c>
      <c r="BX36" s="17">
        <f t="shared" ref="BX36" ca="1" si="924">S36*S38</f>
        <v>1744.6803850267379</v>
      </c>
      <c r="BY36" s="17">
        <f t="shared" ref="BY36" ca="1" si="925">T36*T38</f>
        <v>1831.2277219251339</v>
      </c>
      <c r="BZ36" s="17">
        <f t="shared" ref="BZ36" ca="1" si="926">U36*U38</f>
        <v>1921.5401069518716</v>
      </c>
      <c r="CA36" s="17">
        <f t="shared" ref="CA36" ca="1" si="927">V36*V38</f>
        <v>1984.4534759358287</v>
      </c>
      <c r="CB36" s="17">
        <f t="shared" ref="CB36" ca="1" si="928">W36*W38</f>
        <v>2049.8053475935826</v>
      </c>
      <c r="CC36" s="17">
        <f t="shared" ref="CC36" ca="1" si="929">X36*X38</f>
        <v>2117.1080213903738</v>
      </c>
      <c r="CD36" s="17">
        <f t="shared" ref="CD36" ca="1" si="930">Y36*Y38</f>
        <v>2187.3368983957212</v>
      </c>
      <c r="CE36" s="17">
        <f t="shared" ref="CE36" ca="1" si="931">Z36*Z38</f>
        <v>2257.5657754010685</v>
      </c>
      <c r="CF36" s="17">
        <f t="shared" ref="CF36" ca="1" si="932">AA36*AA38</f>
        <v>2337.0625544814457</v>
      </c>
      <c r="CG36" s="17">
        <f t="shared" ref="CG36" ca="1" si="933">AB36*AB38</f>
        <v>2411.9682871062682</v>
      </c>
      <c r="CH36" s="17">
        <f t="shared" ref="CH36" ca="1" si="934">AC36*AC38</f>
        <v>2488.1495840409234</v>
      </c>
      <c r="CI36" s="17">
        <f t="shared" ref="CI36" ca="1" si="935">AD36*AD38</f>
        <v>2569.1330479640951</v>
      </c>
      <c r="CJ36" s="17">
        <f t="shared" ref="CJ36" ca="1" si="936">AE36*AE38</f>
        <v>2643.126192084057</v>
      </c>
      <c r="CK36" s="17">
        <f t="shared" ref="CK36" ca="1" si="937">AF36*AF38</f>
        <v>2805.7134740548104</v>
      </c>
      <c r="CL36" s="17">
        <f t="shared" ref="CL36" ca="1" si="938">AG36*AG38</f>
        <v>3808.4084120124476</v>
      </c>
      <c r="CM36" s="17">
        <f t="shared" ref="CM36" ca="1" si="939">AH36*AH38</f>
        <v>5468.9879049159663</v>
      </c>
      <c r="CN36" s="95" t="str">
        <f t="shared" ca="1" si="851"/>
        <v xml:space="preserve">122.5 125.5 129.5 132.8 137.1 142.1 150.8 159.8 169.7 180.1 191.1 197.8 204.8 212 219.5 227 235.5 243.6 251.9 260.6 268.7 285.2 387.2 556 </v>
      </c>
      <c r="CO36" s="96">
        <f ca="1">ROUND(BP36*(1-AQ36)*(1-$AK36)/8.76*(1+CO$2),1)</f>
        <v>122.5</v>
      </c>
      <c r="CP36" s="96">
        <f t="shared" ca="1" si="852"/>
        <v>125.5</v>
      </c>
      <c r="CQ36" s="96">
        <f t="shared" ca="1" si="853"/>
        <v>129.5</v>
      </c>
      <c r="CR36" s="96">
        <f t="shared" ca="1" si="854"/>
        <v>132.80000000000001</v>
      </c>
      <c r="CS36" s="96">
        <f t="shared" ca="1" si="855"/>
        <v>137.1</v>
      </c>
      <c r="CT36" s="96">
        <f t="shared" ca="1" si="856"/>
        <v>142.1</v>
      </c>
      <c r="CU36" s="96">
        <f t="shared" ca="1" si="857"/>
        <v>150.80000000000001</v>
      </c>
      <c r="CV36" s="96">
        <f t="shared" ca="1" si="858"/>
        <v>159.80000000000001</v>
      </c>
      <c r="CW36" s="96">
        <f t="shared" ca="1" si="859"/>
        <v>169.7</v>
      </c>
      <c r="CX36" s="96">
        <f t="shared" ca="1" si="860"/>
        <v>180.1</v>
      </c>
      <c r="CY36" s="96">
        <f t="shared" ca="1" si="861"/>
        <v>191.1</v>
      </c>
      <c r="CZ36" s="96">
        <f t="shared" ca="1" si="862"/>
        <v>197.8</v>
      </c>
      <c r="DA36" s="96">
        <f t="shared" ca="1" si="863"/>
        <v>204.8</v>
      </c>
      <c r="DB36" s="96">
        <f t="shared" ca="1" si="864"/>
        <v>212</v>
      </c>
      <c r="DC36" s="96">
        <f t="shared" ca="1" si="865"/>
        <v>219.5</v>
      </c>
      <c r="DD36" s="96">
        <f t="shared" ca="1" si="866"/>
        <v>227</v>
      </c>
      <c r="DE36" s="96">
        <f t="shared" ca="1" si="867"/>
        <v>235.5</v>
      </c>
      <c r="DF36" s="96">
        <f t="shared" ca="1" si="868"/>
        <v>243.6</v>
      </c>
      <c r="DG36" s="96">
        <f t="shared" ca="1" si="869"/>
        <v>251.9</v>
      </c>
      <c r="DH36" s="96">
        <f t="shared" ca="1" si="870"/>
        <v>260.60000000000002</v>
      </c>
      <c r="DI36" s="96">
        <f t="shared" ca="1" si="871"/>
        <v>268.7</v>
      </c>
      <c r="DJ36" s="96">
        <f t="shared" ca="1" si="872"/>
        <v>285.2</v>
      </c>
      <c r="DK36" s="96">
        <f t="shared" ca="1" si="873"/>
        <v>387.2</v>
      </c>
      <c r="DL36" s="96">
        <f t="shared" ca="1" si="874"/>
        <v>556</v>
      </c>
      <c r="DM36" s="95" t="str">
        <f t="shared" si="875"/>
        <v xml:space="preserve">0.8 0.81 0.82 0.83 0.84 0.85 0.86 0.87 0.88 0.89 0.9 0.902 0.904 0.906 0.908 0.91 0.912 0.914 0.916 0.918 0.92 0.92 0.92 0.92 </v>
      </c>
      <c r="DN36" s="91">
        <f t="shared" ref="DN36:DN37" si="940">1-AQ36</f>
        <v>0.8</v>
      </c>
      <c r="DO36" s="91">
        <f t="shared" si="876"/>
        <v>0.81</v>
      </c>
      <c r="DP36" s="91">
        <f t="shared" si="876"/>
        <v>0.82000000000000006</v>
      </c>
      <c r="DQ36" s="91">
        <f t="shared" si="876"/>
        <v>0.83000000000000007</v>
      </c>
      <c r="DR36" s="91">
        <f t="shared" si="876"/>
        <v>0.84000000000000008</v>
      </c>
      <c r="DS36" s="91">
        <f t="shared" si="876"/>
        <v>0.85000000000000009</v>
      </c>
      <c r="DT36" s="91">
        <f t="shared" si="876"/>
        <v>0.8600000000000001</v>
      </c>
      <c r="DU36" s="91">
        <f t="shared" si="876"/>
        <v>0.87000000000000011</v>
      </c>
      <c r="DV36" s="91">
        <f t="shared" si="876"/>
        <v>0.88</v>
      </c>
      <c r="DW36" s="91">
        <f t="shared" si="876"/>
        <v>0.89</v>
      </c>
      <c r="DX36" s="91">
        <f t="shared" si="876"/>
        <v>0.9</v>
      </c>
      <c r="DY36" s="91">
        <f t="shared" si="876"/>
        <v>0.90200000000000002</v>
      </c>
      <c r="DZ36" s="91">
        <f t="shared" si="876"/>
        <v>0.90400000000000003</v>
      </c>
      <c r="EA36" s="91">
        <f t="shared" si="876"/>
        <v>0.90600000000000003</v>
      </c>
      <c r="EB36" s="91">
        <f t="shared" si="876"/>
        <v>0.90800000000000003</v>
      </c>
      <c r="EC36" s="91">
        <f t="shared" si="876"/>
        <v>0.91</v>
      </c>
      <c r="ED36" s="91">
        <f t="shared" si="876"/>
        <v>0.91200000000000003</v>
      </c>
      <c r="EE36" s="91">
        <f t="shared" si="877"/>
        <v>0.91400000000000003</v>
      </c>
      <c r="EF36" s="91">
        <f t="shared" si="877"/>
        <v>0.91600000000000004</v>
      </c>
      <c r="EG36" s="91">
        <f t="shared" si="877"/>
        <v>0.91800000000000004</v>
      </c>
      <c r="EH36" s="91">
        <f t="shared" si="877"/>
        <v>0.92</v>
      </c>
      <c r="EI36" s="91">
        <f t="shared" si="877"/>
        <v>0.92</v>
      </c>
      <c r="EJ36" s="91">
        <f t="shared" si="877"/>
        <v>0.92</v>
      </c>
      <c r="EK36" s="91">
        <f t="shared" si="877"/>
        <v>0.92</v>
      </c>
    </row>
    <row r="37" spans="1:141" x14ac:dyDescent="0.25">
      <c r="A37" t="str">
        <f t="shared" si="17"/>
        <v>RuralNAM</v>
      </c>
      <c r="B37" t="str">
        <f t="shared" si="825"/>
        <v>Rural</v>
      </c>
      <c r="C37" t="str">
        <f>IFERROR(VLOOKUP(D37,PoolPlan_EnergyProj!$C$89:$D$100,2,FALSE),C36)</f>
        <v>NAM</v>
      </c>
      <c r="D37" t="s">
        <v>150</v>
      </c>
      <c r="E37" s="91">
        <v>0.02</v>
      </c>
      <c r="F37" s="91">
        <v>0.03</v>
      </c>
      <c r="G37" s="91">
        <v>0.05</v>
      </c>
      <c r="H37" s="91">
        <v>0.05</v>
      </c>
      <c r="I37" s="91">
        <f>H37</f>
        <v>0.05</v>
      </c>
      <c r="K37" s="91">
        <f t="shared" si="879"/>
        <v>0.02</v>
      </c>
      <c r="L37" s="91">
        <f t="shared" si="880"/>
        <v>2.1999999999999999E-2</v>
      </c>
      <c r="M37" s="91">
        <f t="shared" si="880"/>
        <v>2.3999999999999997E-2</v>
      </c>
      <c r="N37" s="91">
        <f t="shared" si="880"/>
        <v>2.5999999999999995E-2</v>
      </c>
      <c r="O37" s="91">
        <f t="shared" si="880"/>
        <v>2.7999999999999994E-2</v>
      </c>
      <c r="P37" s="91">
        <f t="shared" si="881"/>
        <v>0.03</v>
      </c>
      <c r="Q37" s="91">
        <f t="shared" si="882"/>
        <v>3.4000000000000002E-2</v>
      </c>
      <c r="R37" s="91">
        <f t="shared" si="882"/>
        <v>3.8000000000000006E-2</v>
      </c>
      <c r="S37" s="91">
        <f t="shared" si="882"/>
        <v>4.200000000000001E-2</v>
      </c>
      <c r="T37" s="91">
        <f t="shared" si="882"/>
        <v>4.6000000000000013E-2</v>
      </c>
      <c r="U37" s="91">
        <f t="shared" si="883"/>
        <v>0.05</v>
      </c>
      <c r="V37" s="91">
        <f t="shared" si="884"/>
        <v>0.05</v>
      </c>
      <c r="W37" s="91">
        <f t="shared" si="885"/>
        <v>0.05</v>
      </c>
      <c r="X37" s="91">
        <f t="shared" si="886"/>
        <v>0.05</v>
      </c>
      <c r="Y37" s="91">
        <f t="shared" si="887"/>
        <v>0.05</v>
      </c>
      <c r="Z37" s="91">
        <f t="shared" si="888"/>
        <v>0.05</v>
      </c>
      <c r="AA37" s="91">
        <f t="shared" si="889"/>
        <v>0.05</v>
      </c>
      <c r="AB37" s="91">
        <f t="shared" si="890"/>
        <v>0.05</v>
      </c>
      <c r="AC37" s="91">
        <f t="shared" si="891"/>
        <v>0.05</v>
      </c>
      <c r="AD37" s="91">
        <f t="shared" si="892"/>
        <v>0.05</v>
      </c>
      <c r="AE37" s="91">
        <f t="shared" si="893"/>
        <v>0.05</v>
      </c>
      <c r="AF37" s="91">
        <f>(AH37-AE37)/(AH$4-AE$4)+AE37</f>
        <v>0.05</v>
      </c>
      <c r="AG37" s="91">
        <f t="shared" si="894"/>
        <v>0.05</v>
      </c>
      <c r="AH37" s="91">
        <f>I37</f>
        <v>0.05</v>
      </c>
      <c r="AJ37" s="98">
        <f>1-((1-AL37)*K37+(1-AL36)*K36+(1-AL35)*K35)*(1-AK35)</f>
        <v>0.12202400000000002</v>
      </c>
      <c r="AK37" s="91">
        <f>AK36</f>
        <v>3.2000000000000001E-2</v>
      </c>
      <c r="AL37" s="91">
        <v>0.25</v>
      </c>
      <c r="AM37" s="91">
        <v>0.2</v>
      </c>
      <c r="AN37" s="91">
        <v>0.2</v>
      </c>
      <c r="AO37" s="91">
        <f>AN37</f>
        <v>0.2</v>
      </c>
      <c r="AP37" s="95" t="str">
        <f>AQ37&amp;" "&amp;AR37&amp;" "&amp;AS37&amp;" "&amp;AT37&amp;" "&amp;AU37&amp;" "&amp;AV37&amp;" "&amp;AW37&amp;" "&amp;AX37&amp;" "&amp;AY37&amp;" "&amp;AZ37&amp;" "&amp;BA37&amp;" "&amp;BB37&amp;" "&amp;BC37&amp;" "&amp;BD37&amp;" "&amp;BE37&amp;" "&amp;BF37&amp;" "&amp;BG37&amp;" "&amp;BH37&amp;" "&amp;BI37&amp;" "&amp;BJ37&amp;" "&amp;BK37&amp;" "&amp;BL37&amp;" "&amp;BM37&amp;" "&amp;BN37&amp;" "</f>
        <v xml:space="preserve">0.25 0.245 0.24 0.235 0.23 0.225 0.22 0.215 0.21 0.205 0.2 0.2 0.2 0.2 0.2 0.2 0.2 0.2 0.2 0.2 0.2 0.2 0.2 0.2 </v>
      </c>
      <c r="AQ37" s="91">
        <f t="shared" si="895"/>
        <v>0.25</v>
      </c>
      <c r="AR37" s="91">
        <f t="shared" si="896"/>
        <v>0.245</v>
      </c>
      <c r="AS37" s="91">
        <f t="shared" si="897"/>
        <v>0.24</v>
      </c>
      <c r="AT37" s="91">
        <f t="shared" si="898"/>
        <v>0.23499999999999999</v>
      </c>
      <c r="AU37" s="91">
        <f t="shared" si="899"/>
        <v>0.22999999999999998</v>
      </c>
      <c r="AV37" s="91">
        <f t="shared" si="900"/>
        <v>0.22499999999999998</v>
      </c>
      <c r="AW37" s="91">
        <f t="shared" si="901"/>
        <v>0.21999999999999997</v>
      </c>
      <c r="AX37" s="91">
        <f t="shared" si="902"/>
        <v>0.21499999999999997</v>
      </c>
      <c r="AY37" s="91">
        <f t="shared" si="903"/>
        <v>0.20999999999999996</v>
      </c>
      <c r="AZ37" s="91">
        <f t="shared" si="904"/>
        <v>0.20499999999999996</v>
      </c>
      <c r="BA37" s="91">
        <f t="shared" si="905"/>
        <v>0.2</v>
      </c>
      <c r="BB37" s="91">
        <f t="shared" si="906"/>
        <v>0.2</v>
      </c>
      <c r="BC37" s="91">
        <f t="shared" si="907"/>
        <v>0.2</v>
      </c>
      <c r="BD37" s="91">
        <f t="shared" si="908"/>
        <v>0.2</v>
      </c>
      <c r="BE37" s="91">
        <f t="shared" si="909"/>
        <v>0.2</v>
      </c>
      <c r="BF37" s="91">
        <f t="shared" si="910"/>
        <v>0.2</v>
      </c>
      <c r="BG37" s="91">
        <f t="shared" si="911"/>
        <v>0.2</v>
      </c>
      <c r="BH37" s="91">
        <f t="shared" si="912"/>
        <v>0.2</v>
      </c>
      <c r="BI37" s="91">
        <f t="shared" si="913"/>
        <v>0.2</v>
      </c>
      <c r="BJ37" s="91">
        <f t="shared" si="914"/>
        <v>0.2</v>
      </c>
      <c r="BK37" s="91">
        <f t="shared" si="915"/>
        <v>0.2</v>
      </c>
      <c r="BL37" s="91">
        <f>(BN37-BK37)/(BN$4-BK$4)+BK37</f>
        <v>0.2</v>
      </c>
      <c r="BM37" s="91">
        <f t="shared" si="916"/>
        <v>0.2</v>
      </c>
      <c r="BN37" s="91">
        <f>AO37</f>
        <v>0.2</v>
      </c>
      <c r="BP37" s="17">
        <f ca="1">K37*K38</f>
        <v>72.960000000000008</v>
      </c>
      <c r="BQ37" s="17">
        <f t="shared" ref="BQ37" ca="1" si="941">L37*L38</f>
        <v>81.597176470588224</v>
      </c>
      <c r="BR37" s="17">
        <f t="shared" ref="BR37" ca="1" si="942">M37*M38</f>
        <v>91.209754010695164</v>
      </c>
      <c r="BS37" s="17">
        <f t="shared" ref="BS37" ca="1" si="943">N37*N38</f>
        <v>100.64919786096254</v>
      </c>
      <c r="BT37" s="17">
        <f t="shared" ref="BT37" ca="1" si="944">O37*O38</f>
        <v>111.15670588235292</v>
      </c>
      <c r="BU37" s="17">
        <f t="shared" ref="BU37" ca="1" si="945">P37*P38</f>
        <v>122.64449197860962</v>
      </c>
      <c r="BV37" s="17">
        <f t="shared" ref="BV37" ca="1" si="946">Q37*Q38</f>
        <v>143.47418181818179</v>
      </c>
      <c r="BW37" s="17">
        <f t="shared" ref="BW37" ca="1" si="947">R37*R38</f>
        <v>165.35730481283423</v>
      </c>
      <c r="BX37" s="17">
        <f t="shared" ref="BX37" ca="1" si="948">S37*S38</f>
        <v>188.85715508021391</v>
      </c>
      <c r="BY37" s="17">
        <f t="shared" ref="BY37" ca="1" si="949">T37*T38</f>
        <v>213.79816042780755</v>
      </c>
      <c r="BZ37" s="17">
        <f t="shared" ref="BZ37" ca="1" si="950">U37*U38</f>
        <v>240.19251336898398</v>
      </c>
      <c r="CA37" s="17">
        <f t="shared" ref="CA37" ca="1" si="951">V37*V38</f>
        <v>248.05668449197861</v>
      </c>
      <c r="CB37" s="17">
        <f t="shared" ref="CB37" ca="1" si="952">W37*W38</f>
        <v>256.22566844919783</v>
      </c>
      <c r="CC37" s="17">
        <f t="shared" ref="CC37" ca="1" si="953">X37*X38</f>
        <v>264.63850267379678</v>
      </c>
      <c r="CD37" s="17">
        <f t="shared" ref="CD37" ca="1" si="954">Y37*Y38</f>
        <v>273.4171122994652</v>
      </c>
      <c r="CE37" s="17">
        <f t="shared" ref="CE37" ca="1" si="955">Z37*Z38</f>
        <v>282.19572192513363</v>
      </c>
      <c r="CF37" s="17">
        <f t="shared" ref="CF37" ca="1" si="956">AA37*AA38</f>
        <v>292.13281931018076</v>
      </c>
      <c r="CG37" s="17">
        <f t="shared" ref="CG37" ca="1" si="957">AB37*AB38</f>
        <v>301.49603588828353</v>
      </c>
      <c r="CH37" s="17">
        <f t="shared" ref="CH37" ca="1" si="958">AC37*AC38</f>
        <v>311.01869800511548</v>
      </c>
      <c r="CI37" s="17">
        <f t="shared" ref="CI37" ca="1" si="959">AD37*AD38</f>
        <v>321.14163099551195</v>
      </c>
      <c r="CJ37" s="17">
        <f t="shared" ref="CJ37" ca="1" si="960">AE37*AE38</f>
        <v>330.39077401050719</v>
      </c>
      <c r="CK37" s="17">
        <f t="shared" ref="CK37" ca="1" si="961">AF37*AF38</f>
        <v>348.53583528631191</v>
      </c>
      <c r="CL37" s="17">
        <f t="shared" ref="CL37" ca="1" si="962">AG37*AG38</f>
        <v>448.0480484720527</v>
      </c>
      <c r="CM37" s="17">
        <f t="shared" ref="CM37" ca="1" si="963">AH37*AH38</f>
        <v>607.66532276844066</v>
      </c>
      <c r="CN37" s="95" t="str">
        <f t="shared" ca="1" si="851"/>
        <v xml:space="preserve">6 6.8 7.7 8.5 9.5 10.5 12.4 14.3 16.5 18.8 21.2 21.9 22.7 23.4 24.2 24.9 25.8 26.7 27.5 28.4 29.2 30.8 39.6 53.7 </v>
      </c>
      <c r="CO37" s="96">
        <f ca="1">ROUND(BP37*(1-AQ37)*(1-$AK37)/8.76*(1+CO$2),1)</f>
        <v>6</v>
      </c>
      <c r="CP37" s="96">
        <f t="shared" ca="1" si="852"/>
        <v>6.8</v>
      </c>
      <c r="CQ37" s="96">
        <f t="shared" ca="1" si="853"/>
        <v>7.7</v>
      </c>
      <c r="CR37" s="96">
        <f t="shared" ca="1" si="854"/>
        <v>8.5</v>
      </c>
      <c r="CS37" s="96">
        <f t="shared" ca="1" si="855"/>
        <v>9.5</v>
      </c>
      <c r="CT37" s="96">
        <f t="shared" ca="1" si="856"/>
        <v>10.5</v>
      </c>
      <c r="CU37" s="96">
        <f t="shared" ca="1" si="857"/>
        <v>12.4</v>
      </c>
      <c r="CV37" s="96">
        <f t="shared" ca="1" si="858"/>
        <v>14.3</v>
      </c>
      <c r="CW37" s="96">
        <f t="shared" ca="1" si="859"/>
        <v>16.5</v>
      </c>
      <c r="CX37" s="96">
        <f t="shared" ca="1" si="860"/>
        <v>18.8</v>
      </c>
      <c r="CY37" s="96">
        <f t="shared" ca="1" si="861"/>
        <v>21.2</v>
      </c>
      <c r="CZ37" s="96">
        <f t="shared" ca="1" si="862"/>
        <v>21.9</v>
      </c>
      <c r="DA37" s="96">
        <f t="shared" ca="1" si="863"/>
        <v>22.7</v>
      </c>
      <c r="DB37" s="96">
        <f t="shared" ca="1" si="864"/>
        <v>23.4</v>
      </c>
      <c r="DC37" s="96">
        <f t="shared" ca="1" si="865"/>
        <v>24.2</v>
      </c>
      <c r="DD37" s="96">
        <f t="shared" ca="1" si="866"/>
        <v>24.9</v>
      </c>
      <c r="DE37" s="96">
        <f t="shared" ca="1" si="867"/>
        <v>25.8</v>
      </c>
      <c r="DF37" s="96">
        <f t="shared" ca="1" si="868"/>
        <v>26.7</v>
      </c>
      <c r="DG37" s="96">
        <f t="shared" ca="1" si="869"/>
        <v>27.5</v>
      </c>
      <c r="DH37" s="96">
        <f t="shared" ca="1" si="870"/>
        <v>28.4</v>
      </c>
      <c r="DI37" s="96">
        <f t="shared" ca="1" si="871"/>
        <v>29.2</v>
      </c>
      <c r="DJ37" s="96">
        <f t="shared" ca="1" si="872"/>
        <v>30.8</v>
      </c>
      <c r="DK37" s="96">
        <f t="shared" ca="1" si="873"/>
        <v>39.6</v>
      </c>
      <c r="DL37" s="96">
        <f t="shared" ca="1" si="874"/>
        <v>53.7</v>
      </c>
      <c r="DM37" s="95" t="str">
        <f t="shared" si="875"/>
        <v xml:space="preserve">0.75 0.755 0.76 0.765 0.77 0.775 0.78 0.785 0.79 0.795 0.8 0.8 0.8 0.8 0.8 0.8 0.8 0.8 0.8 0.8 0.8 0.8 0.8 0.8 </v>
      </c>
      <c r="DN37" s="91">
        <f t="shared" si="940"/>
        <v>0.75</v>
      </c>
      <c r="DO37" s="91">
        <f t="shared" si="876"/>
        <v>0.755</v>
      </c>
      <c r="DP37" s="91">
        <f t="shared" si="876"/>
        <v>0.76</v>
      </c>
      <c r="DQ37" s="91">
        <f t="shared" si="876"/>
        <v>0.76500000000000001</v>
      </c>
      <c r="DR37" s="91">
        <f t="shared" si="876"/>
        <v>0.77</v>
      </c>
      <c r="DS37" s="91">
        <f t="shared" si="876"/>
        <v>0.77500000000000002</v>
      </c>
      <c r="DT37" s="91">
        <f t="shared" si="876"/>
        <v>0.78</v>
      </c>
      <c r="DU37" s="91">
        <f t="shared" si="876"/>
        <v>0.78500000000000003</v>
      </c>
      <c r="DV37" s="91">
        <f t="shared" si="876"/>
        <v>0.79</v>
      </c>
      <c r="DW37" s="91">
        <f t="shared" si="876"/>
        <v>0.79500000000000004</v>
      </c>
      <c r="DX37" s="91">
        <f t="shared" si="876"/>
        <v>0.8</v>
      </c>
      <c r="DY37" s="91">
        <f t="shared" si="876"/>
        <v>0.8</v>
      </c>
      <c r="DZ37" s="91">
        <f t="shared" si="876"/>
        <v>0.8</v>
      </c>
      <c r="EA37" s="91">
        <f t="shared" si="876"/>
        <v>0.8</v>
      </c>
      <c r="EB37" s="91">
        <f t="shared" si="876"/>
        <v>0.8</v>
      </c>
      <c r="EC37" s="91">
        <f t="shared" si="876"/>
        <v>0.8</v>
      </c>
      <c r="ED37" s="91">
        <f t="shared" si="876"/>
        <v>0.8</v>
      </c>
      <c r="EE37" s="91">
        <f t="shared" si="877"/>
        <v>0.8</v>
      </c>
      <c r="EF37" s="91">
        <f t="shared" si="877"/>
        <v>0.8</v>
      </c>
      <c r="EG37" s="91">
        <f t="shared" si="877"/>
        <v>0.8</v>
      </c>
      <c r="EH37" s="91">
        <f t="shared" si="877"/>
        <v>0.8</v>
      </c>
      <c r="EI37" s="91">
        <f t="shared" si="877"/>
        <v>0.8</v>
      </c>
      <c r="EJ37" s="91">
        <f t="shared" si="877"/>
        <v>0.8</v>
      </c>
      <c r="EK37" s="91">
        <f t="shared" si="877"/>
        <v>0.8</v>
      </c>
    </row>
    <row r="38" spans="1:141" x14ac:dyDescent="0.25">
      <c r="A38" t="str">
        <f t="shared" si="17"/>
        <v>NAM</v>
      </c>
      <c r="C38" t="str">
        <f>IFERROR(VLOOKUP(D38,PoolPlan_EnergyProj!$C$89:$D$100,2,FALSE),C37)</f>
        <v>NAM</v>
      </c>
      <c r="D38" t="s">
        <v>151</v>
      </c>
      <c r="K38" s="17">
        <f ca="1">OFFSET(PoolPlan_EnergyProj!$B$6,MATCH(K34,PoolPlan_EnergyProj!$B$7:$B$30),MATCH($C38,PoolPlan_EnergyProj!$C$1:$N$1,0))</f>
        <v>3648</v>
      </c>
      <c r="L38" s="17">
        <f ca="1">OFFSET(PoolPlan_EnergyProj!$B$6,MATCH(L34,PoolPlan_EnergyProj!$B$7:$B$30),MATCH($C38,PoolPlan_EnergyProj!$C$1:$N$1,0))</f>
        <v>3708.9625668449194</v>
      </c>
      <c r="M38" s="17">
        <f ca="1">OFFSET(PoolPlan_EnergyProj!$B$6,MATCH(M34,PoolPlan_EnergyProj!$B$7:$B$30),MATCH($C38,PoolPlan_EnergyProj!$C$1:$N$1,0))</f>
        <v>3800.4064171122991</v>
      </c>
      <c r="N38" s="17">
        <f ca="1">OFFSET(PoolPlan_EnergyProj!$B$6,MATCH(N34,PoolPlan_EnergyProj!$B$7:$B$30),MATCH($C38,PoolPlan_EnergyProj!$C$1:$N$1,0))</f>
        <v>3871.1229946524063</v>
      </c>
      <c r="O38" s="17">
        <f ca="1">OFFSET(PoolPlan_EnergyProj!$B$6,MATCH(O34,PoolPlan_EnergyProj!$B$7:$B$30),MATCH($C38,PoolPlan_EnergyProj!$C$1:$N$1,0))</f>
        <v>3969.8823529411766</v>
      </c>
      <c r="P38" s="17">
        <f ca="1">OFFSET(PoolPlan_EnergyProj!$B$6,MATCH(P34,PoolPlan_EnergyProj!$B$7:$B$30),MATCH($C38,PoolPlan_EnergyProj!$C$1:$N$1,0))</f>
        <v>4088.1497326203207</v>
      </c>
      <c r="Q38" s="17">
        <f ca="1">OFFSET(PoolPlan_EnergyProj!$B$6,MATCH(Q34,PoolPlan_EnergyProj!$B$7:$B$30),MATCH($C38,PoolPlan_EnergyProj!$C$1:$N$1,0))</f>
        <v>4219.8288770053468</v>
      </c>
      <c r="R38" s="17">
        <f ca="1">OFFSET(PoolPlan_EnergyProj!$B$6,MATCH(R34,PoolPlan_EnergyProj!$B$7:$B$30),MATCH($C38,PoolPlan_EnergyProj!$C$1:$N$1,0))</f>
        <v>4351.5080213903739</v>
      </c>
      <c r="S38" s="17">
        <f ca="1">OFFSET(PoolPlan_EnergyProj!$B$6,MATCH(S34,PoolPlan_EnergyProj!$B$7:$B$30),MATCH($C38,PoolPlan_EnergyProj!$C$1:$N$1,0))</f>
        <v>4496.5989304812829</v>
      </c>
      <c r="T38" s="17">
        <f ca="1">OFFSET(PoolPlan_EnergyProj!$B$6,MATCH(T34,PoolPlan_EnergyProj!$B$7:$B$30),MATCH($C38,PoolPlan_EnergyProj!$C$1:$N$1,0))</f>
        <v>4647.7860962566847</v>
      </c>
      <c r="U38" s="17">
        <f ca="1">OFFSET(PoolPlan_EnergyProj!$B$6,MATCH(U34,PoolPlan_EnergyProj!$B$7:$B$30),MATCH($C38,PoolPlan_EnergyProj!$C$1:$N$1,0))</f>
        <v>4803.8502673796793</v>
      </c>
      <c r="V38" s="17">
        <f ca="1">OFFSET(PoolPlan_EnergyProj!$B$6,MATCH(V34,PoolPlan_EnergyProj!$B$7:$B$30),MATCH($C38,PoolPlan_EnergyProj!$C$1:$N$1,0))</f>
        <v>4961.1336898395721</v>
      </c>
      <c r="W38" s="17">
        <f ca="1">OFFSET(PoolPlan_EnergyProj!$B$6,MATCH(W34,PoolPlan_EnergyProj!$B$7:$B$30),MATCH($C38,PoolPlan_EnergyProj!$C$1:$N$1,0))</f>
        <v>5124.5133689839568</v>
      </c>
      <c r="X38" s="17">
        <f ca="1">OFFSET(PoolPlan_EnergyProj!$B$6,MATCH(X34,PoolPlan_EnergyProj!$B$7:$B$30),MATCH($C38,PoolPlan_EnergyProj!$C$1:$N$1,0))</f>
        <v>5292.7700534759351</v>
      </c>
      <c r="Y38" s="17">
        <f ca="1">OFFSET(PoolPlan_EnergyProj!$B$6,MATCH(Y34,PoolPlan_EnergyProj!$B$7:$B$30),MATCH($C38,PoolPlan_EnergyProj!$C$1:$N$1,0))</f>
        <v>5468.3422459893036</v>
      </c>
      <c r="Z38" s="17">
        <f ca="1">OFFSET(PoolPlan_EnergyProj!$B$6,MATCH(Z34,PoolPlan_EnergyProj!$B$7:$B$30),MATCH($C38,PoolPlan_EnergyProj!$C$1:$N$1,0))</f>
        <v>5643.9144385026721</v>
      </c>
      <c r="AA38" s="17">
        <f ca="1">OFFSET(PoolPlan_EnergyProj!$B$6,MATCH(AA34,PoolPlan_EnergyProj!$B$7:$B$30),MATCH($C38,PoolPlan_EnergyProj!$C$1:$N$1,0))</f>
        <v>5842.6563862036146</v>
      </c>
      <c r="AB38" s="17">
        <f ca="1">OFFSET(PoolPlan_EnergyProj!$B$6,MATCH(AB34,PoolPlan_EnergyProj!$B$7:$B$30),MATCH($C38,PoolPlan_EnergyProj!$C$1:$N$1,0))</f>
        <v>6029.9207177656708</v>
      </c>
      <c r="AC38" s="17">
        <f ca="1">OFFSET(PoolPlan_EnergyProj!$B$6,MATCH(AC34,PoolPlan_EnergyProj!$B$7:$B$30),MATCH($C38,PoolPlan_EnergyProj!$C$1:$N$1,0))</f>
        <v>6220.373960102309</v>
      </c>
      <c r="AD38" s="17">
        <f ca="1">OFFSET(PoolPlan_EnergyProj!$B$6,MATCH(AD34,PoolPlan_EnergyProj!$B$7:$B$30),MATCH($C38,PoolPlan_EnergyProj!$C$1:$N$1,0))</f>
        <v>6422.8326199102385</v>
      </c>
      <c r="AE38" s="17">
        <f ca="1">OFFSET(PoolPlan_EnergyProj!$B$6,MATCH(AE34,PoolPlan_EnergyProj!$B$7:$B$30),MATCH($C38,PoolPlan_EnergyProj!$C$1:$N$1,0))</f>
        <v>6607.8154802101435</v>
      </c>
      <c r="AF38" s="17">
        <f ca="1">OFFSET(PoolPlan_EnergyProj!$B$6,MATCH(AF34,PoolPlan_EnergyProj!$B$7:$B$30),MATCH($C38,PoolPlan_EnergyProj!$C$1:$N$1,0))</f>
        <v>6970.7167057262377</v>
      </c>
      <c r="AG38" s="17">
        <f ca="1">OFFSET(PoolPlan_EnergyProj!$B$6,MATCH(AG34,PoolPlan_EnergyProj!$B$7:$B$30),MATCH($C38,PoolPlan_EnergyProj!$C$1:$N$1,0))</f>
        <v>8960.9609694410537</v>
      </c>
      <c r="AH38" s="17">
        <f ca="1">OFFSET(PoolPlan_EnergyProj!$B$6,MATCH(AH34,PoolPlan_EnergyProj!$B$7:$B$30),MATCH($C38,PoolPlan_EnergyProj!$C$1:$N$1,0))</f>
        <v>12153.306455368813</v>
      </c>
      <c r="BP38" s="17">
        <f ca="1">SUM(BP35:BP37)</f>
        <v>3648</v>
      </c>
      <c r="BQ38" s="17">
        <f t="shared" ref="BQ38:CM38" ca="1" si="964">SUM(BQ35:BQ37)</f>
        <v>3708.9625668449194</v>
      </c>
      <c r="BR38" s="17">
        <f t="shared" ca="1" si="964"/>
        <v>3800.4064171122991</v>
      </c>
      <c r="BS38" s="17">
        <f t="shared" ca="1" si="964"/>
        <v>3871.1229946524059</v>
      </c>
      <c r="BT38" s="17">
        <f t="shared" ca="1" si="964"/>
        <v>3969.8823529411766</v>
      </c>
      <c r="BU38" s="17">
        <f t="shared" ca="1" si="964"/>
        <v>4088.1497326203203</v>
      </c>
      <c r="BV38" s="17">
        <f t="shared" ca="1" si="964"/>
        <v>4219.8288770053468</v>
      </c>
      <c r="BW38" s="17">
        <f t="shared" ca="1" si="964"/>
        <v>4351.5080213903748</v>
      </c>
      <c r="BX38" s="17">
        <f t="shared" ca="1" si="964"/>
        <v>4496.5989304812829</v>
      </c>
      <c r="BY38" s="17">
        <f t="shared" ca="1" si="964"/>
        <v>4647.7860962566847</v>
      </c>
      <c r="BZ38" s="17">
        <f t="shared" ca="1" si="964"/>
        <v>4803.8502673796793</v>
      </c>
      <c r="CA38" s="17">
        <f t="shared" ca="1" si="964"/>
        <v>4961.1336898395721</v>
      </c>
      <c r="CB38" s="17">
        <f t="shared" ca="1" si="964"/>
        <v>5124.5133689839568</v>
      </c>
      <c r="CC38" s="17">
        <f t="shared" ca="1" si="964"/>
        <v>5292.7700534759351</v>
      </c>
      <c r="CD38" s="17">
        <f t="shared" ca="1" si="964"/>
        <v>5468.3422459893027</v>
      </c>
      <c r="CE38" s="17">
        <f t="shared" ca="1" si="964"/>
        <v>5643.9144385026721</v>
      </c>
      <c r="CF38" s="17">
        <f t="shared" ca="1" si="964"/>
        <v>5842.6563862036146</v>
      </c>
      <c r="CG38" s="17">
        <f t="shared" ca="1" si="964"/>
        <v>6029.9207177656708</v>
      </c>
      <c r="CH38" s="17">
        <f t="shared" ca="1" si="964"/>
        <v>6220.373960102309</v>
      </c>
      <c r="CI38" s="17">
        <f t="shared" ca="1" si="964"/>
        <v>6422.8326199102385</v>
      </c>
      <c r="CJ38" s="17">
        <f t="shared" ca="1" si="964"/>
        <v>6607.8154802101426</v>
      </c>
      <c r="CK38" s="17">
        <f t="shared" ca="1" si="964"/>
        <v>6970.7167057262386</v>
      </c>
      <c r="CL38" s="17">
        <f t="shared" ca="1" si="964"/>
        <v>8960.9609694410537</v>
      </c>
      <c r="CM38" s="17">
        <f t="shared" ca="1" si="964"/>
        <v>12153.306455368813</v>
      </c>
    </row>
    <row r="39" spans="1:141" x14ac:dyDescent="0.25">
      <c r="A39" t="str">
        <f t="shared" si="17"/>
        <v>SAF</v>
      </c>
      <c r="C39" t="str">
        <f>IFERROR(VLOOKUP(D39,PoolPlan_EnergyProj!$C$89:$D$100,2,FALSE),C38)</f>
        <v>SAF</v>
      </c>
      <c r="D39" s="93" t="s">
        <v>20</v>
      </c>
      <c r="E39">
        <v>2010</v>
      </c>
      <c r="F39">
        <v>2015</v>
      </c>
      <c r="G39">
        <v>2020</v>
      </c>
      <c r="H39">
        <v>2030</v>
      </c>
      <c r="I39">
        <f>I34</f>
        <v>2050</v>
      </c>
      <c r="K39">
        <v>2010</v>
      </c>
      <c r="L39">
        <f>K39+1</f>
        <v>2011</v>
      </c>
      <c r="M39">
        <f t="shared" ref="M39:AF39" si="965">L39+1</f>
        <v>2012</v>
      </c>
      <c r="N39">
        <f t="shared" si="965"/>
        <v>2013</v>
      </c>
      <c r="O39">
        <f t="shared" si="965"/>
        <v>2014</v>
      </c>
      <c r="P39">
        <f t="shared" si="965"/>
        <v>2015</v>
      </c>
      <c r="Q39">
        <f t="shared" si="965"/>
        <v>2016</v>
      </c>
      <c r="R39">
        <f t="shared" si="965"/>
        <v>2017</v>
      </c>
      <c r="S39">
        <f t="shared" si="965"/>
        <v>2018</v>
      </c>
      <c r="T39">
        <f t="shared" si="965"/>
        <v>2019</v>
      </c>
      <c r="U39">
        <f t="shared" si="965"/>
        <v>2020</v>
      </c>
      <c r="V39">
        <f t="shared" si="965"/>
        <v>2021</v>
      </c>
      <c r="W39">
        <f t="shared" si="965"/>
        <v>2022</v>
      </c>
      <c r="X39">
        <f t="shared" si="965"/>
        <v>2023</v>
      </c>
      <c r="Y39">
        <f t="shared" si="965"/>
        <v>2024</v>
      </c>
      <c r="Z39">
        <f t="shared" si="965"/>
        <v>2025</v>
      </c>
      <c r="AA39">
        <f t="shared" si="965"/>
        <v>2026</v>
      </c>
      <c r="AB39">
        <f t="shared" si="965"/>
        <v>2027</v>
      </c>
      <c r="AC39">
        <f t="shared" si="965"/>
        <v>2028</v>
      </c>
      <c r="AD39">
        <f t="shared" si="965"/>
        <v>2029</v>
      </c>
      <c r="AE39">
        <f t="shared" si="965"/>
        <v>2030</v>
      </c>
      <c r="AF39">
        <f t="shared" si="965"/>
        <v>2031</v>
      </c>
      <c r="AG39">
        <v>2040</v>
      </c>
      <c r="AH39">
        <v>2050</v>
      </c>
      <c r="AL39">
        <f>E39</f>
        <v>2010</v>
      </c>
      <c r="AM39">
        <f>G39</f>
        <v>2020</v>
      </c>
      <c r="AN39">
        <f>H39</f>
        <v>2030</v>
      </c>
      <c r="AO39">
        <f>I39</f>
        <v>2050</v>
      </c>
      <c r="AQ39">
        <v>2010</v>
      </c>
      <c r="AR39">
        <f>AQ39+1</f>
        <v>2011</v>
      </c>
      <c r="AS39">
        <f t="shared" ref="AS39:BL39" si="966">AR39+1</f>
        <v>2012</v>
      </c>
      <c r="AT39">
        <f t="shared" si="966"/>
        <v>2013</v>
      </c>
      <c r="AU39">
        <f t="shared" si="966"/>
        <v>2014</v>
      </c>
      <c r="AV39">
        <f t="shared" si="966"/>
        <v>2015</v>
      </c>
      <c r="AW39">
        <f t="shared" si="966"/>
        <v>2016</v>
      </c>
      <c r="AX39">
        <f t="shared" si="966"/>
        <v>2017</v>
      </c>
      <c r="AY39">
        <f t="shared" si="966"/>
        <v>2018</v>
      </c>
      <c r="AZ39">
        <f t="shared" si="966"/>
        <v>2019</v>
      </c>
      <c r="BA39">
        <f t="shared" si="966"/>
        <v>2020</v>
      </c>
      <c r="BB39">
        <f t="shared" si="966"/>
        <v>2021</v>
      </c>
      <c r="BC39">
        <f t="shared" si="966"/>
        <v>2022</v>
      </c>
      <c r="BD39">
        <f t="shared" si="966"/>
        <v>2023</v>
      </c>
      <c r="BE39">
        <f t="shared" si="966"/>
        <v>2024</v>
      </c>
      <c r="BF39">
        <f t="shared" si="966"/>
        <v>2025</v>
      </c>
      <c r="BG39">
        <f t="shared" si="966"/>
        <v>2026</v>
      </c>
      <c r="BH39">
        <f t="shared" si="966"/>
        <v>2027</v>
      </c>
      <c r="BI39">
        <f t="shared" si="966"/>
        <v>2028</v>
      </c>
      <c r="BJ39">
        <f t="shared" si="966"/>
        <v>2029</v>
      </c>
      <c r="BK39">
        <f t="shared" si="966"/>
        <v>2030</v>
      </c>
      <c r="BL39">
        <f t="shared" si="966"/>
        <v>2031</v>
      </c>
      <c r="BM39">
        <v>2040</v>
      </c>
      <c r="BN39">
        <v>2050</v>
      </c>
      <c r="BP39">
        <f>AQ39</f>
        <v>2010</v>
      </c>
      <c r="BQ39">
        <f t="shared" ref="BQ39:CM39" si="967">AR39</f>
        <v>2011</v>
      </c>
      <c r="BR39">
        <f t="shared" si="967"/>
        <v>2012</v>
      </c>
      <c r="BS39">
        <f t="shared" si="967"/>
        <v>2013</v>
      </c>
      <c r="BT39">
        <f t="shared" si="967"/>
        <v>2014</v>
      </c>
      <c r="BU39">
        <f t="shared" si="967"/>
        <v>2015</v>
      </c>
      <c r="BV39">
        <f t="shared" si="967"/>
        <v>2016</v>
      </c>
      <c r="BW39">
        <f t="shared" si="967"/>
        <v>2017</v>
      </c>
      <c r="BX39">
        <f t="shared" si="967"/>
        <v>2018</v>
      </c>
      <c r="BY39">
        <f t="shared" si="967"/>
        <v>2019</v>
      </c>
      <c r="BZ39">
        <f t="shared" si="967"/>
        <v>2020</v>
      </c>
      <c r="CA39">
        <f t="shared" si="967"/>
        <v>2021</v>
      </c>
      <c r="CB39">
        <f t="shared" si="967"/>
        <v>2022</v>
      </c>
      <c r="CC39">
        <f t="shared" si="967"/>
        <v>2023</v>
      </c>
      <c r="CD39">
        <f t="shared" si="967"/>
        <v>2024</v>
      </c>
      <c r="CE39">
        <f t="shared" si="967"/>
        <v>2025</v>
      </c>
      <c r="CF39">
        <f t="shared" si="967"/>
        <v>2026</v>
      </c>
      <c r="CG39">
        <f t="shared" si="967"/>
        <v>2027</v>
      </c>
      <c r="CH39">
        <f t="shared" si="967"/>
        <v>2028</v>
      </c>
      <c r="CI39">
        <f t="shared" si="967"/>
        <v>2029</v>
      </c>
      <c r="CJ39">
        <f t="shared" si="967"/>
        <v>2030</v>
      </c>
      <c r="CK39">
        <f t="shared" si="967"/>
        <v>2031</v>
      </c>
      <c r="CL39">
        <f t="shared" si="967"/>
        <v>2040</v>
      </c>
      <c r="CM39">
        <f t="shared" si="967"/>
        <v>2050</v>
      </c>
      <c r="CO39">
        <f>BP39</f>
        <v>2010</v>
      </c>
      <c r="CP39">
        <f t="shared" ref="CP39:DD39" si="968">BQ39</f>
        <v>2011</v>
      </c>
      <c r="CQ39">
        <f t="shared" si="968"/>
        <v>2012</v>
      </c>
      <c r="CR39">
        <f t="shared" si="968"/>
        <v>2013</v>
      </c>
      <c r="CS39">
        <f t="shared" si="968"/>
        <v>2014</v>
      </c>
      <c r="CT39">
        <f t="shared" si="968"/>
        <v>2015</v>
      </c>
      <c r="CU39">
        <f t="shared" si="968"/>
        <v>2016</v>
      </c>
      <c r="CV39">
        <f t="shared" si="968"/>
        <v>2017</v>
      </c>
      <c r="CW39">
        <f t="shared" si="968"/>
        <v>2018</v>
      </c>
      <c r="CX39">
        <f t="shared" si="968"/>
        <v>2019</v>
      </c>
      <c r="CY39">
        <f t="shared" si="968"/>
        <v>2020</v>
      </c>
      <c r="CZ39">
        <f t="shared" si="968"/>
        <v>2021</v>
      </c>
      <c r="DA39">
        <f t="shared" si="968"/>
        <v>2022</v>
      </c>
      <c r="DB39">
        <f t="shared" si="968"/>
        <v>2023</v>
      </c>
      <c r="DC39">
        <f t="shared" si="968"/>
        <v>2024</v>
      </c>
      <c r="DD39">
        <f t="shared" si="968"/>
        <v>2025</v>
      </c>
      <c r="DE39">
        <f>CF39</f>
        <v>2026</v>
      </c>
      <c r="DF39">
        <f t="shared" ref="DF39:DG39" si="969">CG39</f>
        <v>2027</v>
      </c>
      <c r="DG39">
        <f t="shared" si="969"/>
        <v>2028</v>
      </c>
      <c r="DH39">
        <f>CI39</f>
        <v>2029</v>
      </c>
      <c r="DI39">
        <f t="shared" ref="DI39" si="970">CJ39</f>
        <v>2030</v>
      </c>
      <c r="DJ39">
        <f>CK39</f>
        <v>2031</v>
      </c>
      <c r="DK39">
        <f>CL39</f>
        <v>2040</v>
      </c>
      <c r="DL39">
        <f t="shared" ref="DL39" si="971">CM39</f>
        <v>2050</v>
      </c>
    </row>
    <row r="40" spans="1:141" x14ac:dyDescent="0.25">
      <c r="A40" t="str">
        <f t="shared" si="17"/>
        <v>IndustrySAF</v>
      </c>
      <c r="B40" t="str">
        <f t="shared" ref="B40:B42" si="972">B35</f>
        <v>Industry</v>
      </c>
      <c r="C40" t="str">
        <f>IFERROR(VLOOKUP(D40,PoolPlan_EnergyProj!$C$89:$D$100,2,FALSE),C39)</f>
        <v>SAF</v>
      </c>
      <c r="D40" t="s">
        <v>146</v>
      </c>
      <c r="E40" s="91">
        <v>0.65</v>
      </c>
      <c r="F40" s="91">
        <v>0.65</v>
      </c>
      <c r="G40" s="91">
        <v>0.6</v>
      </c>
      <c r="H40" s="91">
        <v>0.55000000000000004</v>
      </c>
      <c r="I40" s="91">
        <v>0.5</v>
      </c>
      <c r="K40" s="91">
        <f>E40</f>
        <v>0.65</v>
      </c>
      <c r="L40" s="91">
        <f>($P40-$K40)/($P$4-$K$4)+K40</f>
        <v>0.65</v>
      </c>
      <c r="M40" s="91">
        <f t="shared" ref="M40:O40" si="973">($P40-$K40)/($P$4-$K$4)+L40</f>
        <v>0.65</v>
      </c>
      <c r="N40" s="91">
        <f t="shared" si="973"/>
        <v>0.65</v>
      </c>
      <c r="O40" s="91">
        <f t="shared" si="973"/>
        <v>0.65</v>
      </c>
      <c r="P40" s="91">
        <f>F40</f>
        <v>0.65</v>
      </c>
      <c r="Q40" s="91">
        <f>($U40-$P40)/($U$4-$P$4)+P40</f>
        <v>0.64</v>
      </c>
      <c r="R40" s="91">
        <f t="shared" ref="R40:T40" si="974">($U40-$P40)/($U$4-$P$4)+Q40</f>
        <v>0.63</v>
      </c>
      <c r="S40" s="91">
        <f t="shared" si="974"/>
        <v>0.62</v>
      </c>
      <c r="T40" s="91">
        <f t="shared" si="974"/>
        <v>0.61</v>
      </c>
      <c r="U40" s="91">
        <f>G40</f>
        <v>0.6</v>
      </c>
      <c r="V40" s="91">
        <f>(AE40-U40)/(AE$4-U$4)+U40</f>
        <v>0.59499999999999997</v>
      </c>
      <c r="W40" s="91">
        <f>(AE40-U40)/(AE$4-U$4)+V40</f>
        <v>0.59</v>
      </c>
      <c r="X40" s="91">
        <f>(AE40-U40)/(AE$4-U$4)+W40</f>
        <v>0.58499999999999996</v>
      </c>
      <c r="Y40" s="91">
        <f>(AE40-U40)/(AE$4-U$4)+X40</f>
        <v>0.57999999999999996</v>
      </c>
      <c r="Z40" s="91">
        <f>(AE40-U40)/(AE$4-U$4)+Y40</f>
        <v>0.57499999999999996</v>
      </c>
      <c r="AA40" s="91">
        <f>(AE40-U40)/(AE$4-U$4)+Z40</f>
        <v>0.56999999999999995</v>
      </c>
      <c r="AB40" s="91">
        <f>(AE40-U40)/(AE$4-U$4)+AA40</f>
        <v>0.56499999999999995</v>
      </c>
      <c r="AC40" s="91">
        <f>(AE40-U40)/(AE$4-U$4)+AB40</f>
        <v>0.55999999999999994</v>
      </c>
      <c r="AD40" s="91">
        <f>(AE40-U40)/(AE$4-U$4)+AC40</f>
        <v>0.55499999999999994</v>
      </c>
      <c r="AE40" s="91">
        <f>H40</f>
        <v>0.55000000000000004</v>
      </c>
      <c r="AF40" s="91">
        <f>(AH40-AE40)/(AH$4-AE$4)+AE40</f>
        <v>0.5475000000000001</v>
      </c>
      <c r="AG40" s="91">
        <f>(AE40+AH40)/2</f>
        <v>0.52500000000000002</v>
      </c>
      <c r="AH40" s="91">
        <f>I40</f>
        <v>0.5</v>
      </c>
      <c r="AJ40" s="94">
        <f>SUMIF(AR2008_Stats!$A$18:$A$29,C40,AR2008_Stats!$T$18:$T$29)</f>
        <v>0.10723099999999997</v>
      </c>
      <c r="AK40" s="91">
        <f>SUMIF(AR2008_Stats!$A$18:$A$29,C40,AR2008_Stats!$R$18:$R$29)</f>
        <v>3.9E-2</v>
      </c>
      <c r="AL40" s="83">
        <v>0.01</v>
      </c>
      <c r="AM40" s="91">
        <v>0.01</v>
      </c>
      <c r="AN40" s="91">
        <v>0.01</v>
      </c>
      <c r="AO40" s="91">
        <v>0.01</v>
      </c>
      <c r="AP40" s="95" t="str">
        <f>AQ40&amp;" "&amp;AR40&amp;" "&amp;AS40&amp;" "&amp;AT40&amp;" "&amp;AU40&amp;" "&amp;AV40&amp;" "&amp;AW40&amp;" "&amp;AX40&amp;" "&amp;AY40&amp;" "&amp;AZ40&amp;" "&amp;BA40&amp;" "&amp;BB40&amp;" "&amp;BC40&amp;" "&amp;BD40&amp;" "&amp;BE40&amp;" "&amp;BF40&amp;" "&amp;BG40&amp;" "&amp;BH40&amp;" "&amp;BI40&amp;" "&amp;BJ40&amp;" "&amp;BK40&amp;" "&amp;BL40&amp;" "&amp;BM40&amp;" "&amp;BN40&amp;" "</f>
        <v xml:space="preserve">0.01 0.01 0.01 0.01 0.01 0.01 0.01 0.01 0.01 0.01 0.01 0.01 0.01 0.01 0.01 0.01 0.01 0.01 0.01 0.01 0.01 0.01 0.01 0.01 </v>
      </c>
      <c r="AQ40" s="91">
        <f>AL40</f>
        <v>0.01</v>
      </c>
      <c r="AR40" s="91">
        <f>(BA40-AQ40)/(BA$4-AQ$4)+AQ40</f>
        <v>0.01</v>
      </c>
      <c r="AS40" s="91">
        <f>(BA40-AQ40)/(BA$4-AQ$4)+AR40</f>
        <v>0.01</v>
      </c>
      <c r="AT40" s="91">
        <f>(BA40-AQ40)/(BA$4-AQ$4)+AS40</f>
        <v>0.01</v>
      </c>
      <c r="AU40" s="91">
        <f>(BA40-AQ40)/(BA$4-AQ$4)+AT40</f>
        <v>0.01</v>
      </c>
      <c r="AV40" s="91">
        <f>(BA40-AQ40)/(BA$4-AQ$4)+AU40</f>
        <v>0.01</v>
      </c>
      <c r="AW40" s="91">
        <f>(BA40-AQ40)/(BA$4-AQ$4)+AV40</f>
        <v>0.01</v>
      </c>
      <c r="AX40" s="91">
        <f>(BA40-AQ40)/(BA$4-AQ$4)+AW40</f>
        <v>0.01</v>
      </c>
      <c r="AY40" s="91">
        <f>(BA40-AQ40)/(BA$4-AQ$4)+AX40</f>
        <v>0.01</v>
      </c>
      <c r="AZ40" s="91">
        <f>(BA40-AQ40)/(BA$4-AQ$4)+AY40</f>
        <v>0.01</v>
      </c>
      <c r="BA40" s="91">
        <f>AM40</f>
        <v>0.01</v>
      </c>
      <c r="BB40" s="91">
        <f>(BK40-BA40)/(BK$4-BA$4)+BA40</f>
        <v>0.01</v>
      </c>
      <c r="BC40" s="91">
        <f>(BK40-BA40)/(BK$4-BA$4)+BB40</f>
        <v>0.01</v>
      </c>
      <c r="BD40" s="91">
        <f>(BK40-BA40)/(BK$4-BA$4)+BC40</f>
        <v>0.01</v>
      </c>
      <c r="BE40" s="91">
        <f>(BK40-BA40)/(BK$4-BA$4)+BD40</f>
        <v>0.01</v>
      </c>
      <c r="BF40" s="91">
        <f>(BK40-BA40)/(BK$4-BA$4)+BE40</f>
        <v>0.01</v>
      </c>
      <c r="BG40" s="91">
        <f>(BK40-BA40)/(BK$4-BA$4)+BF40</f>
        <v>0.01</v>
      </c>
      <c r="BH40" s="91">
        <f>(BK40-BA40)/(BK$4-BA$4)+BG40</f>
        <v>0.01</v>
      </c>
      <c r="BI40" s="91">
        <f>(BK40-BA40)/(BK$4-BA$4)+BH40</f>
        <v>0.01</v>
      </c>
      <c r="BJ40" s="91">
        <f>(BK40-BA40)/(BK$4-BA$4)+BI40</f>
        <v>0.01</v>
      </c>
      <c r="BK40" s="91">
        <f>AN40</f>
        <v>0.01</v>
      </c>
      <c r="BL40" s="91">
        <f>(BN40-BK40)/(BN$4-BK$4)+BK40</f>
        <v>0.01</v>
      </c>
      <c r="BM40" s="91">
        <f>(BK40+BN40)/2</f>
        <v>0.01</v>
      </c>
      <c r="BN40" s="91">
        <f>AO40</f>
        <v>0.01</v>
      </c>
      <c r="BP40" s="17">
        <f ca="1">K40*K43</f>
        <v>168265.56362692802</v>
      </c>
      <c r="BQ40" s="17">
        <f t="shared" ref="BQ40" ca="1" si="975">L40*L43</f>
        <v>172813.89824066838</v>
      </c>
      <c r="BR40" s="17">
        <f t="shared" ref="BR40" ca="1" si="976">M40*M43</f>
        <v>177834.22984262704</v>
      </c>
      <c r="BS40" s="17">
        <f t="shared" ref="BS40" ca="1" si="977">N40*N43</f>
        <v>184017.65044172431</v>
      </c>
      <c r="BT40" s="17">
        <f t="shared" ref="BT40" ca="1" si="978">O40*O43</f>
        <v>188325.43562620733</v>
      </c>
      <c r="BU40" s="17">
        <f t="shared" ref="BU40" ca="1" si="979">P40*P43</f>
        <v>194752.00618893217</v>
      </c>
      <c r="BV40" s="17">
        <f t="shared" ref="BV40" ca="1" si="980">Q40*Q43</f>
        <v>198040.63291170824</v>
      </c>
      <c r="BW40" s="17">
        <f t="shared" ref="BW40" ca="1" si="981">R40*R43</f>
        <v>201567.64861980316</v>
      </c>
      <c r="BX40" s="17">
        <f t="shared" ref="BX40" ca="1" si="982">S40*S43</f>
        <v>205580.24410717378</v>
      </c>
      <c r="BY40" s="17">
        <f t="shared" ref="BY40" ca="1" si="983">T40*T43</f>
        <v>209796.431429577</v>
      </c>
      <c r="BZ40" s="17">
        <f t="shared" ref="BZ40" ca="1" si="984">U40*U43</f>
        <v>212939.29820089502</v>
      </c>
      <c r="CA40" s="17">
        <f t="shared" ref="CA40" ca="1" si="985">V40*V43</f>
        <v>217194.58307730689</v>
      </c>
      <c r="CB40" s="17">
        <f t="shared" ref="CB40" ca="1" si="986">W40*W43</f>
        <v>220802.66496332566</v>
      </c>
      <c r="CC40" s="17">
        <f t="shared" ref="CC40" ca="1" si="987">X40*X43</f>
        <v>224127.90873040323</v>
      </c>
      <c r="CD40" s="17">
        <f t="shared" ref="CD40" ca="1" si="988">Y40*Y43</f>
        <v>227413.63437710682</v>
      </c>
      <c r="CE40" s="17">
        <f t="shared" ref="CE40" ca="1" si="989">Z40*Z43</f>
        <v>232054.37845953603</v>
      </c>
      <c r="CF40" s="17">
        <f t="shared" ref="CF40" ca="1" si="990">AA40*AA43</f>
        <v>236605.17215779159</v>
      </c>
      <c r="CG40" s="17">
        <f t="shared" ref="CG40" ca="1" si="991">AB40*AB43</f>
        <v>240446.30162950538</v>
      </c>
      <c r="CH40" s="17">
        <f t="shared" ref="CH40" ca="1" si="992">AC40*AC43</f>
        <v>243975.07170009386</v>
      </c>
      <c r="CI40" s="17">
        <f t="shared" ref="CI40" ca="1" si="993">AD40*AD43</f>
        <v>247456.48684344997</v>
      </c>
      <c r="CJ40" s="17">
        <f t="shared" ref="CJ40" ca="1" si="994">AE40*AE43</f>
        <v>249187.79923842102</v>
      </c>
      <c r="CK40" s="17">
        <f t="shared" ref="CK40" ca="1" si="995">AF40*AF43</f>
        <v>261619.90340641965</v>
      </c>
      <c r="CL40" s="17">
        <f t="shared" ref="CL40" ca="1" si="996">AG40*AG43</f>
        <v>298901.63390721893</v>
      </c>
      <c r="CM40" s="17">
        <f t="shared" ref="CM40" ca="1" si="997">AH40*AH43</f>
        <v>361119.94254630897</v>
      </c>
      <c r="CN40" s="95" t="str">
        <f t="shared" ref="CN40:CN42" ca="1" si="998">CO40&amp;" "&amp;CP40&amp;" "&amp;CQ40&amp;" "&amp;CR40&amp;" "&amp;CS40&amp;" "&amp;CT40&amp;" "&amp;CU40&amp;" "&amp;CV40&amp;" "&amp;CW40&amp;" "&amp;CX40&amp;" "&amp;CY40&amp;" "&amp;CZ40&amp;" "&amp;DA40&amp;" "&amp;DB40&amp;" "&amp;DC40&amp;" "&amp;DD40&amp;" "&amp;DE40&amp;" "&amp;DF40&amp;" "&amp;DG40&amp;" "&amp;DH40&amp;" "&amp;DI40&amp;" "&amp;DJ40&amp;" "&amp;DK40&amp;" "&amp;DL40&amp;" "</f>
        <v xml:space="preserve">18274.7 18768.7 19313.9 19985.5 20453.3 21151.3 21508.4 21891.5 22327.3 22785.2 23126.5 23588.7 23980.5 24341.7 24698.5 25202.5 25696.8 26114 26497.2 26875.3 27063.3 28413.5 32462.6 39219.9 </v>
      </c>
      <c r="CO40" s="96">
        <f ca="1">ROUND(BP40*(1-AQ40)*(1-$AK40)/8.76*(1+CO$2),1)</f>
        <v>18274.7</v>
      </c>
      <c r="CP40" s="96">
        <f t="shared" ref="CP40:CP42" ca="1" si="999">ROUND(BQ40*(1-AR40)*(1-$AK40)/8.76*(1+CP$2),1)</f>
        <v>18768.7</v>
      </c>
      <c r="CQ40" s="96">
        <f t="shared" ref="CQ40:CQ42" ca="1" si="1000">ROUND(BR40*(1-AS40)*(1-$AK40)/8.76*(1+CQ$2),1)</f>
        <v>19313.900000000001</v>
      </c>
      <c r="CR40" s="96">
        <f t="shared" ref="CR40:CR42" ca="1" si="1001">ROUND(BS40*(1-AT40)*(1-$AK40)/8.76*(1+CR$2),1)</f>
        <v>19985.5</v>
      </c>
      <c r="CS40" s="96">
        <f t="shared" ref="CS40:CS42" ca="1" si="1002">ROUND(BT40*(1-AU40)*(1-$AK40)/8.76*(1+CS$2),1)</f>
        <v>20453.3</v>
      </c>
      <c r="CT40" s="96">
        <f t="shared" ref="CT40:CT42" ca="1" si="1003">ROUND(BU40*(1-AV40)*(1-$AK40)/8.76*(1+CT$2),1)</f>
        <v>21151.3</v>
      </c>
      <c r="CU40" s="96">
        <f t="shared" ref="CU40:CU42" ca="1" si="1004">ROUND(BV40*(1-AW40)*(1-$AK40)/8.76*(1+CU$2),1)</f>
        <v>21508.400000000001</v>
      </c>
      <c r="CV40" s="96">
        <f t="shared" ref="CV40:CV42" ca="1" si="1005">ROUND(BW40*(1-AX40)*(1-$AK40)/8.76*(1+CV$2),1)</f>
        <v>21891.5</v>
      </c>
      <c r="CW40" s="96">
        <f t="shared" ref="CW40:CW42" ca="1" si="1006">ROUND(BX40*(1-AY40)*(1-$AK40)/8.76*(1+CW$2),1)</f>
        <v>22327.3</v>
      </c>
      <c r="CX40" s="96">
        <f t="shared" ref="CX40:CX42" ca="1" si="1007">ROUND(BY40*(1-AZ40)*(1-$AK40)/8.76*(1+CX$2),1)</f>
        <v>22785.200000000001</v>
      </c>
      <c r="CY40" s="96">
        <f t="shared" ref="CY40:CY42" ca="1" si="1008">ROUND(BZ40*(1-BA40)*(1-$AK40)/8.76*(1+CY$2),1)</f>
        <v>23126.5</v>
      </c>
      <c r="CZ40" s="96">
        <f t="shared" ref="CZ40:CZ42" ca="1" si="1009">ROUND(CA40*(1-BB40)*(1-$AK40)/8.76*(1+CZ$2),1)</f>
        <v>23588.7</v>
      </c>
      <c r="DA40" s="96">
        <f t="shared" ref="DA40:DA42" ca="1" si="1010">ROUND(CB40*(1-BC40)*(1-$AK40)/8.76*(1+DA$2),1)</f>
        <v>23980.5</v>
      </c>
      <c r="DB40" s="96">
        <f t="shared" ref="DB40:DB42" ca="1" si="1011">ROUND(CC40*(1-BD40)*(1-$AK40)/8.76*(1+DB$2),1)</f>
        <v>24341.7</v>
      </c>
      <c r="DC40" s="96">
        <f t="shared" ref="DC40:DC42" ca="1" si="1012">ROUND(CD40*(1-BE40)*(1-$AK40)/8.76*(1+DC$2),1)</f>
        <v>24698.5</v>
      </c>
      <c r="DD40" s="96">
        <f t="shared" ref="DD40:DD42" ca="1" si="1013">ROUND(CE40*(1-BF40)*(1-$AK40)/8.76*(1+DD$2),1)</f>
        <v>25202.5</v>
      </c>
      <c r="DE40" s="96">
        <f t="shared" ref="DE40:DE42" ca="1" si="1014">ROUND(CF40*(1-BG40)*(1-$AK40)/8.76*(1+DE$2),1)</f>
        <v>25696.799999999999</v>
      </c>
      <c r="DF40" s="96">
        <f t="shared" ref="DF40:DF42" ca="1" si="1015">ROUND(CG40*(1-BH40)*(1-$AK40)/8.76*(1+DF$2),1)</f>
        <v>26114</v>
      </c>
      <c r="DG40" s="96">
        <f t="shared" ref="DG40:DG42" ca="1" si="1016">ROUND(CH40*(1-BI40)*(1-$AK40)/8.76*(1+DG$2),1)</f>
        <v>26497.200000000001</v>
      </c>
      <c r="DH40" s="96">
        <f t="shared" ref="DH40:DH42" ca="1" si="1017">ROUND(CI40*(1-BJ40)*(1-$AK40)/8.76*(1+DH$2),1)</f>
        <v>26875.3</v>
      </c>
      <c r="DI40" s="96">
        <f t="shared" ref="DI40:DI42" ca="1" si="1018">ROUND(CJ40*(1-BK40)*(1-$AK40)/8.76*(1+DI$2),1)</f>
        <v>27063.3</v>
      </c>
      <c r="DJ40" s="96">
        <f t="shared" ref="DJ40:DJ42" ca="1" si="1019">ROUND(CK40*(1-BL40)*(1-$AK40)/8.76*(1+DJ$2),1)</f>
        <v>28413.5</v>
      </c>
      <c r="DK40" s="96">
        <f t="shared" ref="DK40:DK42" ca="1" si="1020">ROUND(CL40*(1-BM40)*(1-$AK40)/8.76*(1+DK$2),1)</f>
        <v>32462.6</v>
      </c>
      <c r="DL40" s="96">
        <f t="shared" ref="DL40:DL42" ca="1" si="1021">ROUND(CM40*(1-BN40)*(1-$AK40)/8.76*(1+DL$2),1)</f>
        <v>39219.9</v>
      </c>
      <c r="DM40" s="95" t="str">
        <f t="shared" ref="DM40:DM42" si="1022">DN40&amp;" "&amp;DO40&amp;" "&amp;DP40&amp;" "&amp;DQ40&amp;" "&amp;DR40&amp;" "&amp;DS40&amp;" "&amp;DT40&amp;" "&amp;DU40&amp;" "&amp;DV40&amp;" "&amp;DW40&amp;" "&amp;DX40&amp;" "&amp;DY40&amp;" "&amp;DZ40&amp;" "&amp;EA40&amp;" "&amp;EB40&amp;" "&amp;EC40&amp;" "&amp;ED40&amp;" "&amp;EE40&amp;" "&amp;EF40&amp;" "&amp;EG40&amp;" "&amp;EH40&amp;" "&amp;EI40&amp;" "&amp;EJ40&amp;" "&amp;EK40&amp;" "</f>
        <v xml:space="preserve">0.99 0.99 0.99 0.99 0.99 0.99 0.99 0.99 0.99 0.99 0.99 0.99 0.99 0.99 0.99 0.99 0.99 0.99 0.99 0.99 0.99 0.99 0.99 0.99 </v>
      </c>
      <c r="DN40" s="91">
        <f>1-AQ40</f>
        <v>0.99</v>
      </c>
      <c r="DO40" s="91">
        <f t="shared" ref="DO40:ED42" si="1023">1-AR40</f>
        <v>0.99</v>
      </c>
      <c r="DP40" s="91">
        <f t="shared" si="1023"/>
        <v>0.99</v>
      </c>
      <c r="DQ40" s="91">
        <f t="shared" si="1023"/>
        <v>0.99</v>
      </c>
      <c r="DR40" s="91">
        <f t="shared" si="1023"/>
        <v>0.99</v>
      </c>
      <c r="DS40" s="91">
        <f t="shared" si="1023"/>
        <v>0.99</v>
      </c>
      <c r="DT40" s="91">
        <f t="shared" si="1023"/>
        <v>0.99</v>
      </c>
      <c r="DU40" s="91">
        <f t="shared" si="1023"/>
        <v>0.99</v>
      </c>
      <c r="DV40" s="91">
        <f t="shared" si="1023"/>
        <v>0.99</v>
      </c>
      <c r="DW40" s="91">
        <f t="shared" si="1023"/>
        <v>0.99</v>
      </c>
      <c r="DX40" s="91">
        <f t="shared" si="1023"/>
        <v>0.99</v>
      </c>
      <c r="DY40" s="91">
        <f t="shared" si="1023"/>
        <v>0.99</v>
      </c>
      <c r="DZ40" s="91">
        <f t="shared" si="1023"/>
        <v>0.99</v>
      </c>
      <c r="EA40" s="91">
        <f t="shared" si="1023"/>
        <v>0.99</v>
      </c>
      <c r="EB40" s="91">
        <f t="shared" si="1023"/>
        <v>0.99</v>
      </c>
      <c r="EC40" s="91">
        <f t="shared" si="1023"/>
        <v>0.99</v>
      </c>
      <c r="ED40" s="91">
        <f t="shared" si="1023"/>
        <v>0.99</v>
      </c>
      <c r="EE40" s="91">
        <f t="shared" ref="EE40:EK42" si="1024">1-BH40</f>
        <v>0.99</v>
      </c>
      <c r="EF40" s="91">
        <f t="shared" si="1024"/>
        <v>0.99</v>
      </c>
      <c r="EG40" s="91">
        <f t="shared" si="1024"/>
        <v>0.99</v>
      </c>
      <c r="EH40" s="91">
        <f t="shared" si="1024"/>
        <v>0.99</v>
      </c>
      <c r="EI40" s="91">
        <f t="shared" si="1024"/>
        <v>0.99</v>
      </c>
      <c r="EJ40" s="91">
        <f t="shared" si="1024"/>
        <v>0.99</v>
      </c>
      <c r="EK40" s="91">
        <f t="shared" si="1024"/>
        <v>0.99</v>
      </c>
    </row>
    <row r="41" spans="1:141" x14ac:dyDescent="0.25">
      <c r="A41" t="str">
        <f t="shared" si="17"/>
        <v>UrbanSAF</v>
      </c>
      <c r="B41" t="str">
        <f t="shared" si="972"/>
        <v>Urban</v>
      </c>
      <c r="C41" t="str">
        <f>IFERROR(VLOOKUP(D41,PoolPlan_EnergyProj!$C$89:$D$100,2,FALSE),C40)</f>
        <v>SAF</v>
      </c>
      <c r="D41" t="s">
        <v>148</v>
      </c>
      <c r="E41" s="91">
        <f>1-E40-E42</f>
        <v>0.32999999999999996</v>
      </c>
      <c r="F41" s="91">
        <f>1-F40-F42</f>
        <v>0.31999999999999995</v>
      </c>
      <c r="G41" s="91">
        <f t="shared" ref="G41:I41" si="1025">1-G40-G42</f>
        <v>0.37</v>
      </c>
      <c r="H41" s="91">
        <f t="shared" si="1025"/>
        <v>0.39999999999999997</v>
      </c>
      <c r="I41" s="91">
        <f t="shared" si="1025"/>
        <v>0.45</v>
      </c>
      <c r="K41" s="91">
        <f t="shared" ref="K41:K42" si="1026">E41</f>
        <v>0.32999999999999996</v>
      </c>
      <c r="L41" s="91">
        <f t="shared" ref="L41:O42" si="1027">($P41-$K41)/($P$4-$K$4)+K41</f>
        <v>0.32799999999999996</v>
      </c>
      <c r="M41" s="91">
        <f t="shared" si="1027"/>
        <v>0.32599999999999996</v>
      </c>
      <c r="N41" s="91">
        <f t="shared" si="1027"/>
        <v>0.32399999999999995</v>
      </c>
      <c r="O41" s="91">
        <f t="shared" si="1027"/>
        <v>0.32199999999999995</v>
      </c>
      <c r="P41" s="91">
        <f t="shared" ref="P41:P42" si="1028">F41</f>
        <v>0.31999999999999995</v>
      </c>
      <c r="Q41" s="91">
        <f t="shared" ref="Q41:T42" si="1029">($U41-$P41)/($U$4-$P$4)+P41</f>
        <v>0.32999999999999996</v>
      </c>
      <c r="R41" s="91">
        <f t="shared" si="1029"/>
        <v>0.33999999999999997</v>
      </c>
      <c r="S41" s="91">
        <f t="shared" si="1029"/>
        <v>0.35</v>
      </c>
      <c r="T41" s="91">
        <f t="shared" si="1029"/>
        <v>0.36</v>
      </c>
      <c r="U41" s="91">
        <f t="shared" ref="U41:U42" si="1030">G41</f>
        <v>0.37</v>
      </c>
      <c r="V41" s="91">
        <f t="shared" ref="V41:V42" si="1031">(AE41-U41)/(AE$4-U$4)+U41</f>
        <v>0.373</v>
      </c>
      <c r="W41" s="91">
        <f t="shared" ref="W41:W42" si="1032">(AE41-U41)/(AE$4-U$4)+V41</f>
        <v>0.376</v>
      </c>
      <c r="X41" s="91">
        <f t="shared" ref="X41:X42" si="1033">(AE41-U41)/(AE$4-U$4)+W41</f>
        <v>0.379</v>
      </c>
      <c r="Y41" s="91">
        <f t="shared" ref="Y41:Y42" si="1034">(AE41-U41)/(AE$4-U$4)+X41</f>
        <v>0.38200000000000001</v>
      </c>
      <c r="Z41" s="91">
        <f t="shared" ref="Z41:Z42" si="1035">(AE41-U41)/(AE$4-U$4)+Y41</f>
        <v>0.38500000000000001</v>
      </c>
      <c r="AA41" s="91">
        <f t="shared" ref="AA41:AA42" si="1036">(AE41-U41)/(AE$4-U$4)+Z41</f>
        <v>0.38800000000000001</v>
      </c>
      <c r="AB41" s="91">
        <f t="shared" ref="AB41:AB42" si="1037">(AE41-U41)/(AE$4-U$4)+AA41</f>
        <v>0.39100000000000001</v>
      </c>
      <c r="AC41" s="91">
        <f t="shared" ref="AC41:AC42" si="1038">(AE41-U41)/(AE$4-U$4)+AB41</f>
        <v>0.39400000000000002</v>
      </c>
      <c r="AD41" s="91">
        <f t="shared" ref="AD41:AD42" si="1039">(AE41-U41)/(AE$4-U$4)+AC41</f>
        <v>0.39700000000000002</v>
      </c>
      <c r="AE41" s="91">
        <f t="shared" ref="AE41:AE42" si="1040">H41</f>
        <v>0.39999999999999997</v>
      </c>
      <c r="AF41" s="91">
        <f>(AH41-AE41)/(AH$4-AE$4)+AE41</f>
        <v>0.40249999999999997</v>
      </c>
      <c r="AG41" s="91">
        <f t="shared" ref="AG41:AG42" si="1041">(AE41+AH41)/2</f>
        <v>0.42499999999999999</v>
      </c>
      <c r="AH41" s="91">
        <f>I41</f>
        <v>0.45</v>
      </c>
      <c r="AJ41" s="91" t="s">
        <v>149</v>
      </c>
      <c r="AK41" s="91">
        <f>AK40</f>
        <v>3.9E-2</v>
      </c>
      <c r="AL41" s="97">
        <v>0.17</v>
      </c>
      <c r="AM41" s="91">
        <v>0.1</v>
      </c>
      <c r="AN41" s="91">
        <v>0.08</v>
      </c>
      <c r="AO41" s="91">
        <f>AN41</f>
        <v>0.08</v>
      </c>
      <c r="AP41" s="95" t="str">
        <f>AQ41&amp;" "&amp;AR41&amp;" "&amp;AS41&amp;" "&amp;AT41&amp;" "&amp;AU41&amp;" "&amp;AV41&amp;" "&amp;AW41&amp;" "&amp;AX41&amp;" "&amp;AY41&amp;" "&amp;AZ41&amp;" "&amp;BA41&amp;" "&amp;BB41&amp;" "&amp;BC41&amp;" "&amp;BD41&amp;" "&amp;BE41&amp;" "&amp;BF41&amp;" "&amp;BG41&amp;" "&amp;BH41&amp;" "&amp;BI41&amp;" "&amp;BJ41&amp;" "&amp;BK41&amp;" "&amp;BL41&amp;" "&amp;BM41&amp;" "&amp;BN41&amp;" "</f>
        <v xml:space="preserve">0.17 0.163 0.156 0.149 0.142 0.135 0.128 0.121 0.114 0.107 0.1 0.098 0.096 0.094 0.092 0.09 0.088 0.086 0.084 0.082 0.08 0.08 0.08 0.08 </v>
      </c>
      <c r="AQ41" s="91">
        <f t="shared" ref="AQ41:AQ42" si="1042">AL41</f>
        <v>0.17</v>
      </c>
      <c r="AR41" s="91">
        <f t="shared" ref="AR41:AR42" si="1043">(BA41-AQ41)/(BA$4-AQ$4)+AQ41</f>
        <v>0.16300000000000001</v>
      </c>
      <c r="AS41" s="91">
        <f t="shared" ref="AS41:AS42" si="1044">(BA41-AQ41)/(BA$4-AQ$4)+AR41</f>
        <v>0.156</v>
      </c>
      <c r="AT41" s="91">
        <f t="shared" ref="AT41:AT42" si="1045">(BA41-AQ41)/(BA$4-AQ$4)+AS41</f>
        <v>0.14899999999999999</v>
      </c>
      <c r="AU41" s="91">
        <f t="shared" ref="AU41:AU42" si="1046">(BA41-AQ41)/(BA$4-AQ$4)+AT41</f>
        <v>0.14199999999999999</v>
      </c>
      <c r="AV41" s="91">
        <f t="shared" ref="AV41:AV42" si="1047">(BA41-AQ41)/(BA$4-AQ$4)+AU41</f>
        <v>0.13499999999999998</v>
      </c>
      <c r="AW41" s="91">
        <f t="shared" ref="AW41:AW42" si="1048">(BA41-AQ41)/(BA$4-AQ$4)+AV41</f>
        <v>0.12799999999999997</v>
      </c>
      <c r="AX41" s="91">
        <f t="shared" ref="AX41:AX42" si="1049">(BA41-AQ41)/(BA$4-AQ$4)+AW41</f>
        <v>0.12099999999999997</v>
      </c>
      <c r="AY41" s="91">
        <f t="shared" ref="AY41:AY42" si="1050">(BA41-AQ41)/(BA$4-AQ$4)+AX41</f>
        <v>0.11399999999999996</v>
      </c>
      <c r="AZ41" s="91">
        <f t="shared" ref="AZ41:AZ42" si="1051">(BA41-AQ41)/(BA$4-AQ$4)+AY41</f>
        <v>0.10699999999999996</v>
      </c>
      <c r="BA41" s="91">
        <f t="shared" ref="BA41:BA42" si="1052">AM41</f>
        <v>0.1</v>
      </c>
      <c r="BB41" s="91">
        <f t="shared" ref="BB41:BB42" si="1053">(BK41-BA41)/(BK$4-BA$4)+BA41</f>
        <v>9.8000000000000004E-2</v>
      </c>
      <c r="BC41" s="91">
        <f t="shared" ref="BC41:BC42" si="1054">(BK41-BA41)/(BK$4-BA$4)+BB41</f>
        <v>9.6000000000000002E-2</v>
      </c>
      <c r="BD41" s="91">
        <f t="shared" ref="BD41:BD42" si="1055">(BK41-BA41)/(BK$4-BA$4)+BC41</f>
        <v>9.4E-2</v>
      </c>
      <c r="BE41" s="91">
        <f t="shared" ref="BE41:BE42" si="1056">(BK41-BA41)/(BK$4-BA$4)+BD41</f>
        <v>9.1999999999999998E-2</v>
      </c>
      <c r="BF41" s="91">
        <f t="shared" ref="BF41:BF42" si="1057">(BK41-BA41)/(BK$4-BA$4)+BE41</f>
        <v>0.09</v>
      </c>
      <c r="BG41" s="91">
        <f t="shared" ref="BG41:BG42" si="1058">(BK41-BA41)/(BK$4-BA$4)+BF41</f>
        <v>8.7999999999999995E-2</v>
      </c>
      <c r="BH41" s="91">
        <f t="shared" ref="BH41:BH42" si="1059">(BK41-BA41)/(BK$4-BA$4)+BG41</f>
        <v>8.5999999999999993E-2</v>
      </c>
      <c r="BI41" s="91">
        <f t="shared" ref="BI41:BI42" si="1060">(BK41-BA41)/(BK$4-BA$4)+BH41</f>
        <v>8.3999999999999991E-2</v>
      </c>
      <c r="BJ41" s="91">
        <f t="shared" ref="BJ41:BJ42" si="1061">(BK41-BA41)/(BK$4-BA$4)+BI41</f>
        <v>8.199999999999999E-2</v>
      </c>
      <c r="BK41" s="91">
        <f t="shared" ref="BK41:BK42" si="1062">AN41</f>
        <v>0.08</v>
      </c>
      <c r="BL41" s="91">
        <f>(BN41-BK41)/(BN$4-BK$4)+BK41</f>
        <v>0.08</v>
      </c>
      <c r="BM41" s="91">
        <f t="shared" ref="BM41:BM42" si="1063">(BK41+BN41)/2</f>
        <v>0.08</v>
      </c>
      <c r="BN41" s="91">
        <f>AO41</f>
        <v>0.08</v>
      </c>
      <c r="BP41" s="17">
        <f ca="1">K41*K43</f>
        <v>85427.132302901911</v>
      </c>
      <c r="BQ41" s="17">
        <f t="shared" ref="BQ41" ca="1" si="1064">L41*L43</f>
        <v>87204.551727598795</v>
      </c>
      <c r="BR41" s="17">
        <f t="shared" ref="BR41" ca="1" si="1065">M41*M43</f>
        <v>89190.706044148319</v>
      </c>
      <c r="BS41" s="17">
        <f t="shared" ref="BS41" ca="1" si="1066">N41*N43</f>
        <v>91725.721143259492</v>
      </c>
      <c r="BT41" s="17">
        <f t="shared" ref="BT41" ca="1" si="1067">O41*O43</f>
        <v>93293.523494828842</v>
      </c>
      <c r="BU41" s="17">
        <f t="shared" ref="BU41" ca="1" si="1068">P41*P43</f>
        <v>95877.910739166589</v>
      </c>
      <c r="BV41" s="17">
        <f t="shared" ref="BV41" ca="1" si="1069">Q41*Q43</f>
        <v>102114.70134509954</v>
      </c>
      <c r="BW41" s="17">
        <f t="shared" ref="BW41" ca="1" si="1070">R41*R43</f>
        <v>108782.54052497311</v>
      </c>
      <c r="BX41" s="17">
        <f t="shared" ref="BX41" ca="1" si="1071">S41*S43</f>
        <v>116053.36360888842</v>
      </c>
      <c r="BY41" s="17">
        <f t="shared" ref="BY41" ca="1" si="1072">T41*T43</f>
        <v>123814.28740106183</v>
      </c>
      <c r="BZ41" s="17">
        <f t="shared" ref="BZ41" ca="1" si="1073">U41*U43</f>
        <v>131312.56722388527</v>
      </c>
      <c r="CA41" s="17">
        <f t="shared" ref="CA41" ca="1" si="1074">V41*V43</f>
        <v>136157.27645014366</v>
      </c>
      <c r="CB41" s="17">
        <f t="shared" ref="CB41" ca="1" si="1075">W41*W43</f>
        <v>140714.9186884923</v>
      </c>
      <c r="CC41" s="17">
        <f t="shared" ref="CC41" ca="1" si="1076">X41*X43</f>
        <v>145204.23488687663</v>
      </c>
      <c r="CD41" s="17">
        <f t="shared" ref="CD41" ca="1" si="1077">Y41*Y43</f>
        <v>149779.32471043934</v>
      </c>
      <c r="CE41" s="17">
        <f t="shared" ref="CE41" ca="1" si="1078">Z41*Z43</f>
        <v>155375.54035986325</v>
      </c>
      <c r="CF41" s="17">
        <f t="shared" ref="CF41" ca="1" si="1079">AA41*AA43</f>
        <v>161057.55578460201</v>
      </c>
      <c r="CG41" s="17">
        <f t="shared" ref="CG41" ca="1" si="1080">AB41*AB43</f>
        <v>166397.35210112674</v>
      </c>
      <c r="CH41" s="17">
        <f t="shared" ref="CH41" ca="1" si="1081">AC41*AC43</f>
        <v>171653.88973185178</v>
      </c>
      <c r="CI41" s="17">
        <f t="shared" ref="CI41" ca="1" si="1082">AD41*AD43</f>
        <v>177009.41491324262</v>
      </c>
      <c r="CJ41" s="17">
        <f t="shared" ref="CJ41" ca="1" si="1083">AE41*AE43</f>
        <v>181227.49035521524</v>
      </c>
      <c r="CK41" s="17">
        <f t="shared" ref="CK41" ca="1" si="1084">AF41*AF43</f>
        <v>192332.44040380616</v>
      </c>
      <c r="CL41" s="17">
        <f t="shared" ref="CL41" ca="1" si="1085">AG41*AG43</f>
        <v>241967.98935346291</v>
      </c>
      <c r="CM41" s="17">
        <f t="shared" ref="CM41" ca="1" si="1086">AH41*AH43</f>
        <v>325007.9482916781</v>
      </c>
      <c r="CN41" s="95" t="str">
        <f t="shared" ca="1" si="998"/>
        <v xml:space="preserve">7778.5 8007.3 8258.1 8563.3 8781.3 9098.2 9768.4 10489.8 11280 12129.5 12964.9 13473.1 13954.9 14432 14919.6 15511.1 16113.7 16684.4 17249.2 17826.2 18290.7 19411.5 24421.1 32802.1 </v>
      </c>
      <c r="CO41" s="96">
        <f ca="1">ROUND(BP41*(1-AQ41)*(1-$AK41)/8.76*(1+CO$2),1)</f>
        <v>7778.5</v>
      </c>
      <c r="CP41" s="96">
        <f t="shared" ca="1" si="999"/>
        <v>8007.3</v>
      </c>
      <c r="CQ41" s="96">
        <f t="shared" ca="1" si="1000"/>
        <v>8258.1</v>
      </c>
      <c r="CR41" s="96">
        <f t="shared" ca="1" si="1001"/>
        <v>8563.2999999999993</v>
      </c>
      <c r="CS41" s="96">
        <f t="shared" ca="1" si="1002"/>
        <v>8781.2999999999993</v>
      </c>
      <c r="CT41" s="96">
        <f t="shared" ca="1" si="1003"/>
        <v>9098.2000000000007</v>
      </c>
      <c r="CU41" s="96">
        <f t="shared" ca="1" si="1004"/>
        <v>9768.4</v>
      </c>
      <c r="CV41" s="96">
        <f t="shared" ca="1" si="1005"/>
        <v>10489.8</v>
      </c>
      <c r="CW41" s="96">
        <f t="shared" ca="1" si="1006"/>
        <v>11280</v>
      </c>
      <c r="CX41" s="96">
        <f t="shared" ca="1" si="1007"/>
        <v>12129.5</v>
      </c>
      <c r="CY41" s="96">
        <f t="shared" ca="1" si="1008"/>
        <v>12964.9</v>
      </c>
      <c r="CZ41" s="96">
        <f t="shared" ca="1" si="1009"/>
        <v>13473.1</v>
      </c>
      <c r="DA41" s="96">
        <f t="shared" ca="1" si="1010"/>
        <v>13954.9</v>
      </c>
      <c r="DB41" s="96">
        <f t="shared" ca="1" si="1011"/>
        <v>14432</v>
      </c>
      <c r="DC41" s="96">
        <f t="shared" ca="1" si="1012"/>
        <v>14919.6</v>
      </c>
      <c r="DD41" s="96">
        <f t="shared" ca="1" si="1013"/>
        <v>15511.1</v>
      </c>
      <c r="DE41" s="96">
        <f t="shared" ca="1" si="1014"/>
        <v>16113.7</v>
      </c>
      <c r="DF41" s="96">
        <f t="shared" ca="1" si="1015"/>
        <v>16684.400000000001</v>
      </c>
      <c r="DG41" s="96">
        <f t="shared" ca="1" si="1016"/>
        <v>17249.2</v>
      </c>
      <c r="DH41" s="96">
        <f t="shared" ca="1" si="1017"/>
        <v>17826.2</v>
      </c>
      <c r="DI41" s="96">
        <f t="shared" ca="1" si="1018"/>
        <v>18290.7</v>
      </c>
      <c r="DJ41" s="96">
        <f t="shared" ca="1" si="1019"/>
        <v>19411.5</v>
      </c>
      <c r="DK41" s="96">
        <f t="shared" ca="1" si="1020"/>
        <v>24421.1</v>
      </c>
      <c r="DL41" s="96">
        <f t="shared" ca="1" si="1021"/>
        <v>32802.1</v>
      </c>
      <c r="DM41" s="95" t="str">
        <f t="shared" si="1022"/>
        <v xml:space="preserve">0.83 0.837 0.844 0.851 0.858 0.865 0.872 0.879 0.886 0.893 0.9 0.902 0.904 0.906 0.908 0.91 0.912 0.914 0.916 0.918 0.92 0.92 0.92 0.92 </v>
      </c>
      <c r="DN41" s="91">
        <f t="shared" ref="DN41:DN42" si="1087">1-AQ41</f>
        <v>0.83</v>
      </c>
      <c r="DO41" s="91">
        <f t="shared" si="1023"/>
        <v>0.83699999999999997</v>
      </c>
      <c r="DP41" s="91">
        <f t="shared" si="1023"/>
        <v>0.84399999999999997</v>
      </c>
      <c r="DQ41" s="91">
        <f t="shared" si="1023"/>
        <v>0.85099999999999998</v>
      </c>
      <c r="DR41" s="91">
        <f t="shared" si="1023"/>
        <v>0.85799999999999998</v>
      </c>
      <c r="DS41" s="91">
        <f t="shared" si="1023"/>
        <v>0.86499999999999999</v>
      </c>
      <c r="DT41" s="91">
        <f t="shared" si="1023"/>
        <v>0.872</v>
      </c>
      <c r="DU41" s="91">
        <f t="shared" si="1023"/>
        <v>0.879</v>
      </c>
      <c r="DV41" s="91">
        <f t="shared" si="1023"/>
        <v>0.88600000000000001</v>
      </c>
      <c r="DW41" s="91">
        <f t="shared" si="1023"/>
        <v>0.89300000000000002</v>
      </c>
      <c r="DX41" s="91">
        <f t="shared" si="1023"/>
        <v>0.9</v>
      </c>
      <c r="DY41" s="91">
        <f t="shared" si="1023"/>
        <v>0.90200000000000002</v>
      </c>
      <c r="DZ41" s="91">
        <f t="shared" si="1023"/>
        <v>0.90400000000000003</v>
      </c>
      <c r="EA41" s="91">
        <f t="shared" si="1023"/>
        <v>0.90600000000000003</v>
      </c>
      <c r="EB41" s="91">
        <f t="shared" si="1023"/>
        <v>0.90800000000000003</v>
      </c>
      <c r="EC41" s="91">
        <f t="shared" si="1023"/>
        <v>0.91</v>
      </c>
      <c r="ED41" s="91">
        <f t="shared" si="1023"/>
        <v>0.91200000000000003</v>
      </c>
      <c r="EE41" s="91">
        <f t="shared" si="1024"/>
        <v>0.91400000000000003</v>
      </c>
      <c r="EF41" s="91">
        <f t="shared" si="1024"/>
        <v>0.91600000000000004</v>
      </c>
      <c r="EG41" s="91">
        <f t="shared" si="1024"/>
        <v>0.91800000000000004</v>
      </c>
      <c r="EH41" s="91">
        <f t="shared" si="1024"/>
        <v>0.92</v>
      </c>
      <c r="EI41" s="91">
        <f t="shared" si="1024"/>
        <v>0.92</v>
      </c>
      <c r="EJ41" s="91">
        <f t="shared" si="1024"/>
        <v>0.92</v>
      </c>
      <c r="EK41" s="91">
        <f t="shared" si="1024"/>
        <v>0.92</v>
      </c>
    </row>
    <row r="42" spans="1:141" x14ac:dyDescent="0.25">
      <c r="A42" t="str">
        <f t="shared" si="17"/>
        <v>RuralSAF</v>
      </c>
      <c r="B42" t="str">
        <f t="shared" si="972"/>
        <v>Rural</v>
      </c>
      <c r="C42" t="str">
        <f>IFERROR(VLOOKUP(D42,PoolPlan_EnergyProj!$C$89:$D$100,2,FALSE),C41)</f>
        <v>SAF</v>
      </c>
      <c r="D42" t="s">
        <v>150</v>
      </c>
      <c r="E42" s="91">
        <v>0.02</v>
      </c>
      <c r="F42" s="91">
        <v>0.03</v>
      </c>
      <c r="G42" s="91">
        <v>0.03</v>
      </c>
      <c r="H42" s="91">
        <v>0.05</v>
      </c>
      <c r="I42" s="91">
        <v>0.05</v>
      </c>
      <c r="K42" s="91">
        <f t="shared" si="1026"/>
        <v>0.02</v>
      </c>
      <c r="L42" s="91">
        <f t="shared" si="1027"/>
        <v>2.1999999999999999E-2</v>
      </c>
      <c r="M42" s="91">
        <f t="shared" si="1027"/>
        <v>2.3999999999999997E-2</v>
      </c>
      <c r="N42" s="91">
        <f t="shared" si="1027"/>
        <v>2.5999999999999995E-2</v>
      </c>
      <c r="O42" s="91">
        <f t="shared" si="1027"/>
        <v>2.7999999999999994E-2</v>
      </c>
      <c r="P42" s="91">
        <f t="shared" si="1028"/>
        <v>0.03</v>
      </c>
      <c r="Q42" s="91">
        <f t="shared" si="1029"/>
        <v>0.03</v>
      </c>
      <c r="R42" s="91">
        <f t="shared" si="1029"/>
        <v>0.03</v>
      </c>
      <c r="S42" s="91">
        <f t="shared" si="1029"/>
        <v>0.03</v>
      </c>
      <c r="T42" s="91">
        <f t="shared" si="1029"/>
        <v>0.03</v>
      </c>
      <c r="U42" s="91">
        <f t="shared" si="1030"/>
        <v>0.03</v>
      </c>
      <c r="V42" s="91">
        <f t="shared" si="1031"/>
        <v>3.2000000000000001E-2</v>
      </c>
      <c r="W42" s="91">
        <f t="shared" si="1032"/>
        <v>3.4000000000000002E-2</v>
      </c>
      <c r="X42" s="91">
        <f t="shared" si="1033"/>
        <v>3.6000000000000004E-2</v>
      </c>
      <c r="Y42" s="91">
        <f t="shared" si="1034"/>
        <v>3.8000000000000006E-2</v>
      </c>
      <c r="Z42" s="91">
        <f t="shared" si="1035"/>
        <v>4.0000000000000008E-2</v>
      </c>
      <c r="AA42" s="91">
        <f t="shared" si="1036"/>
        <v>4.200000000000001E-2</v>
      </c>
      <c r="AB42" s="91">
        <f t="shared" si="1037"/>
        <v>4.4000000000000011E-2</v>
      </c>
      <c r="AC42" s="91">
        <f t="shared" si="1038"/>
        <v>4.6000000000000013E-2</v>
      </c>
      <c r="AD42" s="91">
        <f t="shared" si="1039"/>
        <v>4.8000000000000015E-2</v>
      </c>
      <c r="AE42" s="91">
        <f t="shared" si="1040"/>
        <v>0.05</v>
      </c>
      <c r="AF42" s="91">
        <f>(AH42-AE42)/(AH$4-AE$4)+AE42</f>
        <v>0.05</v>
      </c>
      <c r="AG42" s="91">
        <f t="shared" si="1041"/>
        <v>0.05</v>
      </c>
      <c r="AH42" s="91">
        <f>I42</f>
        <v>0.05</v>
      </c>
      <c r="AJ42" s="98">
        <f>1-((1-AL42)*K42+(1-AL41)*K41+(1-AL40)*K40)*(1-AK40)</f>
        <v>0.10396360000000016</v>
      </c>
      <c r="AK42" s="91">
        <f>AK41</f>
        <v>3.9E-2</v>
      </c>
      <c r="AL42" s="91">
        <v>0.25</v>
      </c>
      <c r="AM42" s="91">
        <v>0.2</v>
      </c>
      <c r="AN42" s="91">
        <v>0.2</v>
      </c>
      <c r="AO42" s="91">
        <f>AN42</f>
        <v>0.2</v>
      </c>
      <c r="AP42" s="95" t="str">
        <f>AQ42&amp;" "&amp;AR42&amp;" "&amp;AS42&amp;" "&amp;AT42&amp;" "&amp;AU42&amp;" "&amp;AV42&amp;" "&amp;AW42&amp;" "&amp;AX42&amp;" "&amp;AY42&amp;" "&amp;AZ42&amp;" "&amp;BA42&amp;" "&amp;BB42&amp;" "&amp;BC42&amp;" "&amp;BD42&amp;" "&amp;BE42&amp;" "&amp;BF42&amp;" "&amp;BG42&amp;" "&amp;BH42&amp;" "&amp;BI42&amp;" "&amp;BJ42&amp;" "&amp;BK42&amp;" "&amp;BL42&amp;" "&amp;BM42&amp;" "&amp;BN42&amp;" "</f>
        <v xml:space="preserve">0.25 0.245 0.24 0.235 0.23 0.225 0.22 0.215 0.21 0.205 0.2 0.2 0.2 0.2 0.2 0.2 0.2 0.2 0.2 0.2 0.2 0.2 0.2 0.2 </v>
      </c>
      <c r="AQ42" s="91">
        <f t="shared" si="1042"/>
        <v>0.25</v>
      </c>
      <c r="AR42" s="91">
        <f t="shared" si="1043"/>
        <v>0.245</v>
      </c>
      <c r="AS42" s="91">
        <f t="shared" si="1044"/>
        <v>0.24</v>
      </c>
      <c r="AT42" s="91">
        <f t="shared" si="1045"/>
        <v>0.23499999999999999</v>
      </c>
      <c r="AU42" s="91">
        <f t="shared" si="1046"/>
        <v>0.22999999999999998</v>
      </c>
      <c r="AV42" s="91">
        <f t="shared" si="1047"/>
        <v>0.22499999999999998</v>
      </c>
      <c r="AW42" s="91">
        <f t="shared" si="1048"/>
        <v>0.21999999999999997</v>
      </c>
      <c r="AX42" s="91">
        <f t="shared" si="1049"/>
        <v>0.21499999999999997</v>
      </c>
      <c r="AY42" s="91">
        <f t="shared" si="1050"/>
        <v>0.20999999999999996</v>
      </c>
      <c r="AZ42" s="91">
        <f t="shared" si="1051"/>
        <v>0.20499999999999996</v>
      </c>
      <c r="BA42" s="91">
        <f t="shared" si="1052"/>
        <v>0.2</v>
      </c>
      <c r="BB42" s="91">
        <f t="shared" si="1053"/>
        <v>0.2</v>
      </c>
      <c r="BC42" s="91">
        <f t="shared" si="1054"/>
        <v>0.2</v>
      </c>
      <c r="BD42" s="91">
        <f t="shared" si="1055"/>
        <v>0.2</v>
      </c>
      <c r="BE42" s="91">
        <f t="shared" si="1056"/>
        <v>0.2</v>
      </c>
      <c r="BF42" s="91">
        <f t="shared" si="1057"/>
        <v>0.2</v>
      </c>
      <c r="BG42" s="91">
        <f t="shared" si="1058"/>
        <v>0.2</v>
      </c>
      <c r="BH42" s="91">
        <f t="shared" si="1059"/>
        <v>0.2</v>
      </c>
      <c r="BI42" s="91">
        <f t="shared" si="1060"/>
        <v>0.2</v>
      </c>
      <c r="BJ42" s="91">
        <f t="shared" si="1061"/>
        <v>0.2</v>
      </c>
      <c r="BK42" s="91">
        <f t="shared" si="1062"/>
        <v>0.2</v>
      </c>
      <c r="BL42" s="91">
        <f>(BN42-BK42)/(BN$4-BK$4)+BK42</f>
        <v>0.2</v>
      </c>
      <c r="BM42" s="91">
        <f t="shared" si="1063"/>
        <v>0.2</v>
      </c>
      <c r="BN42" s="91">
        <f>AO42</f>
        <v>0.2</v>
      </c>
      <c r="BP42" s="17">
        <f ca="1">K42*K43</f>
        <v>5177.401957751631</v>
      </c>
      <c r="BQ42" s="17">
        <f t="shared" ref="BQ42" ca="1" si="1088">L42*L43</f>
        <v>5849.0857866072365</v>
      </c>
      <c r="BR42" s="17">
        <f t="shared" ref="BR42" ca="1" si="1089">M42*M43</f>
        <v>6566.186948035459</v>
      </c>
      <c r="BS42" s="17">
        <f t="shared" ref="BS42" ca="1" si="1090">N42*N43</f>
        <v>7360.7060176689711</v>
      </c>
      <c r="BT42" s="17">
        <f t="shared" ref="BT42" ca="1" si="1091">O42*O43</f>
        <v>8112.480303898159</v>
      </c>
      <c r="BU42" s="17">
        <f t="shared" ref="BU42" ca="1" si="1092">P42*P43</f>
        <v>8988.5541317968691</v>
      </c>
      <c r="BV42" s="17">
        <f t="shared" ref="BV42" ca="1" si="1093">Q42*Q43</f>
        <v>9283.154667736324</v>
      </c>
      <c r="BW42" s="17">
        <f t="shared" ref="BW42" ca="1" si="1094">R42*R43</f>
        <v>9598.4594580858648</v>
      </c>
      <c r="BX42" s="17">
        <f t="shared" ref="BX42" ca="1" si="1095">S42*S43</f>
        <v>9947.4311664761517</v>
      </c>
      <c r="BY42" s="17">
        <f t="shared" ref="BY42" ca="1" si="1096">T42*T43</f>
        <v>10317.857283421819</v>
      </c>
      <c r="BZ42" s="17">
        <f t="shared" ref="BZ42" ca="1" si="1097">U42*U43</f>
        <v>10646.964910044751</v>
      </c>
      <c r="CA42" s="17">
        <f t="shared" ref="CA42" ca="1" si="1098">V42*V43</f>
        <v>11681.053207519026</v>
      </c>
      <c r="CB42" s="17">
        <f t="shared" ref="CB42" ca="1" si="1099">W42*W43</f>
        <v>12724.221370767922</v>
      </c>
      <c r="CC42" s="17">
        <f t="shared" ref="CC42" ca="1" si="1100">X42*X43</f>
        <v>13792.48669110174</v>
      </c>
      <c r="CD42" s="17">
        <f t="shared" ref="CD42" ca="1" si="1101">Y42*Y43</f>
        <v>14899.513976431141</v>
      </c>
      <c r="CE42" s="17">
        <f t="shared" ref="CE42" ca="1" si="1102">Z42*Z43</f>
        <v>16142.913284141641</v>
      </c>
      <c r="CF42" s="17">
        <f t="shared" ref="CF42" ca="1" si="1103">AA42*AA43</f>
        <v>17434.065316889912</v>
      </c>
      <c r="CG42" s="17">
        <f t="shared" ref="CG42" ca="1" si="1104">AB42*AB43</f>
        <v>18725.021719819895</v>
      </c>
      <c r="CH42" s="17">
        <f t="shared" ref="CH42" ca="1" si="1105">AC42*AC43</f>
        <v>20040.809461079145</v>
      </c>
      <c r="CI42" s="17">
        <f t="shared" ref="CI42" ca="1" si="1106">AD42*AD43</f>
        <v>21401.642105379466</v>
      </c>
      <c r="CJ42" s="17">
        <f t="shared" ref="CJ42" ca="1" si="1107">AE42*AE43</f>
        <v>22653.436294401909</v>
      </c>
      <c r="CK42" s="17">
        <f t="shared" ref="CK42" ca="1" si="1108">AF42*AF43</f>
        <v>23892.228621590832</v>
      </c>
      <c r="CL42" s="17">
        <f t="shared" ref="CL42" ca="1" si="1109">AG42*AG43</f>
        <v>28466.822276877992</v>
      </c>
      <c r="CM42" s="17">
        <f t="shared" ref="CM42" ca="1" si="1110">AH42*AH43</f>
        <v>36111.994254630896</v>
      </c>
      <c r="CN42" s="95" t="str">
        <f t="shared" ca="1" si="998"/>
        <v xml:space="preserve">426 484.5 547.5 617.7 685.3 764.2 794.3 826.6 862.1 899.9 934.4 1025.2 1116.7 1210.5 1307.6 1416.7 1530.1 1643.4 1758.8 1878.3 1988.1 2096.8 2498.3 3169.3 </v>
      </c>
      <c r="CO42" s="96">
        <f ca="1">ROUND(BP42*(1-AQ42)*(1-$AK42)/8.76*(1+CO$2),1)</f>
        <v>426</v>
      </c>
      <c r="CP42" s="96">
        <f t="shared" ca="1" si="999"/>
        <v>484.5</v>
      </c>
      <c r="CQ42" s="96">
        <f t="shared" ca="1" si="1000"/>
        <v>547.5</v>
      </c>
      <c r="CR42" s="96">
        <f t="shared" ca="1" si="1001"/>
        <v>617.70000000000005</v>
      </c>
      <c r="CS42" s="96">
        <f t="shared" ca="1" si="1002"/>
        <v>685.3</v>
      </c>
      <c r="CT42" s="96">
        <f t="shared" ca="1" si="1003"/>
        <v>764.2</v>
      </c>
      <c r="CU42" s="96">
        <f t="shared" ca="1" si="1004"/>
        <v>794.3</v>
      </c>
      <c r="CV42" s="96">
        <f t="shared" ca="1" si="1005"/>
        <v>826.6</v>
      </c>
      <c r="CW42" s="96">
        <f t="shared" ca="1" si="1006"/>
        <v>862.1</v>
      </c>
      <c r="CX42" s="96">
        <f t="shared" ca="1" si="1007"/>
        <v>899.9</v>
      </c>
      <c r="CY42" s="96">
        <f t="shared" ca="1" si="1008"/>
        <v>934.4</v>
      </c>
      <c r="CZ42" s="96">
        <f t="shared" ca="1" si="1009"/>
        <v>1025.2</v>
      </c>
      <c r="DA42" s="96">
        <f t="shared" ca="1" si="1010"/>
        <v>1116.7</v>
      </c>
      <c r="DB42" s="96">
        <f t="shared" ca="1" si="1011"/>
        <v>1210.5</v>
      </c>
      <c r="DC42" s="96">
        <f t="shared" ca="1" si="1012"/>
        <v>1307.5999999999999</v>
      </c>
      <c r="DD42" s="96">
        <f t="shared" ca="1" si="1013"/>
        <v>1416.7</v>
      </c>
      <c r="DE42" s="96">
        <f t="shared" ca="1" si="1014"/>
        <v>1530.1</v>
      </c>
      <c r="DF42" s="96">
        <f t="shared" ca="1" si="1015"/>
        <v>1643.4</v>
      </c>
      <c r="DG42" s="96">
        <f t="shared" ca="1" si="1016"/>
        <v>1758.8</v>
      </c>
      <c r="DH42" s="96">
        <f t="shared" ca="1" si="1017"/>
        <v>1878.3</v>
      </c>
      <c r="DI42" s="96">
        <f t="shared" ca="1" si="1018"/>
        <v>1988.1</v>
      </c>
      <c r="DJ42" s="96">
        <f t="shared" ca="1" si="1019"/>
        <v>2096.8000000000002</v>
      </c>
      <c r="DK42" s="96">
        <f t="shared" ca="1" si="1020"/>
        <v>2498.3000000000002</v>
      </c>
      <c r="DL42" s="96">
        <f t="shared" ca="1" si="1021"/>
        <v>3169.3</v>
      </c>
      <c r="DM42" s="95" t="str">
        <f t="shared" si="1022"/>
        <v xml:space="preserve">0.75 0.755 0.76 0.765 0.77 0.775 0.78 0.785 0.79 0.795 0.8 0.8 0.8 0.8 0.8 0.8 0.8 0.8 0.8 0.8 0.8 0.8 0.8 0.8 </v>
      </c>
      <c r="DN42" s="91">
        <f t="shared" si="1087"/>
        <v>0.75</v>
      </c>
      <c r="DO42" s="91">
        <f t="shared" si="1023"/>
        <v>0.755</v>
      </c>
      <c r="DP42" s="91">
        <f t="shared" si="1023"/>
        <v>0.76</v>
      </c>
      <c r="DQ42" s="91">
        <f t="shared" si="1023"/>
        <v>0.76500000000000001</v>
      </c>
      <c r="DR42" s="91">
        <f t="shared" si="1023"/>
        <v>0.77</v>
      </c>
      <c r="DS42" s="91">
        <f t="shared" si="1023"/>
        <v>0.77500000000000002</v>
      </c>
      <c r="DT42" s="91">
        <f t="shared" si="1023"/>
        <v>0.78</v>
      </c>
      <c r="DU42" s="91">
        <f t="shared" si="1023"/>
        <v>0.78500000000000003</v>
      </c>
      <c r="DV42" s="91">
        <f t="shared" si="1023"/>
        <v>0.79</v>
      </c>
      <c r="DW42" s="91">
        <f t="shared" si="1023"/>
        <v>0.79500000000000004</v>
      </c>
      <c r="DX42" s="91">
        <f t="shared" si="1023"/>
        <v>0.8</v>
      </c>
      <c r="DY42" s="91">
        <f t="shared" si="1023"/>
        <v>0.8</v>
      </c>
      <c r="DZ42" s="91">
        <f t="shared" si="1023"/>
        <v>0.8</v>
      </c>
      <c r="EA42" s="91">
        <f t="shared" si="1023"/>
        <v>0.8</v>
      </c>
      <c r="EB42" s="91">
        <f t="shared" si="1023"/>
        <v>0.8</v>
      </c>
      <c r="EC42" s="91">
        <f t="shared" si="1023"/>
        <v>0.8</v>
      </c>
      <c r="ED42" s="91">
        <f t="shared" si="1023"/>
        <v>0.8</v>
      </c>
      <c r="EE42" s="91">
        <f t="shared" si="1024"/>
        <v>0.8</v>
      </c>
      <c r="EF42" s="91">
        <f t="shared" si="1024"/>
        <v>0.8</v>
      </c>
      <c r="EG42" s="91">
        <f t="shared" si="1024"/>
        <v>0.8</v>
      </c>
      <c r="EH42" s="91">
        <f t="shared" si="1024"/>
        <v>0.8</v>
      </c>
      <c r="EI42" s="91">
        <f t="shared" si="1024"/>
        <v>0.8</v>
      </c>
      <c r="EJ42" s="91">
        <f t="shared" si="1024"/>
        <v>0.8</v>
      </c>
      <c r="EK42" s="91">
        <f t="shared" si="1024"/>
        <v>0.8</v>
      </c>
    </row>
    <row r="43" spans="1:141" x14ac:dyDescent="0.25">
      <c r="A43" t="str">
        <f t="shared" si="17"/>
        <v>SAF</v>
      </c>
      <c r="C43" t="str">
        <f>IFERROR(VLOOKUP(D43,PoolPlan_EnergyProj!$C$89:$D$100,2,FALSE),C42)</f>
        <v>SAF</v>
      </c>
      <c r="D43" t="s">
        <v>151</v>
      </c>
      <c r="K43" s="17">
        <f ca="1">OFFSET(PoolPlan_EnergyProj!$B$6,MATCH(K39,PoolPlan_EnergyProj!$B$7:$B$30),MATCH($C43,PoolPlan_EnergyProj!$C$1:$N$1,0))</f>
        <v>258870.09788758156</v>
      </c>
      <c r="L43" s="17">
        <f ca="1">OFFSET(PoolPlan_EnergyProj!$B$6,MATCH(L39,PoolPlan_EnergyProj!$B$7:$B$30),MATCH($C43,PoolPlan_EnergyProj!$C$1:$N$1,0))</f>
        <v>265867.53575487441</v>
      </c>
      <c r="M43" s="17">
        <f ca="1">OFFSET(PoolPlan_EnergyProj!$B$6,MATCH(M39,PoolPlan_EnergyProj!$B$7:$B$30),MATCH($C43,PoolPlan_EnergyProj!$C$1:$N$1,0))</f>
        <v>273591.12283481081</v>
      </c>
      <c r="N43" s="17">
        <f ca="1">OFFSET(PoolPlan_EnergyProj!$B$6,MATCH(N39,PoolPlan_EnergyProj!$B$7:$B$30),MATCH($C43,PoolPlan_EnergyProj!$C$1:$N$1,0))</f>
        <v>283104.07760265277</v>
      </c>
      <c r="O43" s="17">
        <f ca="1">OFFSET(PoolPlan_EnergyProj!$B$6,MATCH(O39,PoolPlan_EnergyProj!$B$7:$B$30),MATCH($C43,PoolPlan_EnergyProj!$C$1:$N$1,0))</f>
        <v>289731.43942493433</v>
      </c>
      <c r="P43" s="17">
        <f ca="1">OFFSET(PoolPlan_EnergyProj!$B$6,MATCH(P39,PoolPlan_EnergyProj!$B$7:$B$30),MATCH($C43,PoolPlan_EnergyProj!$C$1:$N$1,0))</f>
        <v>299618.47105989564</v>
      </c>
      <c r="Q43" s="17">
        <f ca="1">OFFSET(PoolPlan_EnergyProj!$B$6,MATCH(Q39,PoolPlan_EnergyProj!$B$7:$B$30),MATCH($C43,PoolPlan_EnergyProj!$C$1:$N$1,0))</f>
        <v>309438.48892454413</v>
      </c>
      <c r="R43" s="17">
        <f ca="1">OFFSET(PoolPlan_EnergyProj!$B$6,MATCH(R39,PoolPlan_EnergyProj!$B$7:$B$30),MATCH($C43,PoolPlan_EnergyProj!$C$1:$N$1,0))</f>
        <v>319948.64860286214</v>
      </c>
      <c r="S43" s="17">
        <f ca="1">OFFSET(PoolPlan_EnergyProj!$B$6,MATCH(S39,PoolPlan_EnergyProj!$B$7:$B$30),MATCH($C43,PoolPlan_EnergyProj!$C$1:$N$1,0))</f>
        <v>331581.03888253839</v>
      </c>
      <c r="T43" s="17">
        <f ca="1">OFFSET(PoolPlan_EnergyProj!$B$6,MATCH(T39,PoolPlan_EnergyProj!$B$7:$B$30),MATCH($C43,PoolPlan_EnergyProj!$C$1:$N$1,0))</f>
        <v>343928.57611406065</v>
      </c>
      <c r="U43" s="17">
        <f ca="1">OFFSET(PoolPlan_EnergyProj!$B$6,MATCH(U39,PoolPlan_EnergyProj!$B$7:$B$30),MATCH($C43,PoolPlan_EnergyProj!$C$1:$N$1,0))</f>
        <v>354898.83033482503</v>
      </c>
      <c r="V43" s="17">
        <f ca="1">OFFSET(PoolPlan_EnergyProj!$B$6,MATCH(V39,PoolPlan_EnergyProj!$B$7:$B$30),MATCH($C43,PoolPlan_EnergyProj!$C$1:$N$1,0))</f>
        <v>365032.91273496958</v>
      </c>
      <c r="W43" s="17">
        <f ca="1">OFFSET(PoolPlan_EnergyProj!$B$6,MATCH(W39,PoolPlan_EnergyProj!$B$7:$B$30),MATCH($C43,PoolPlan_EnergyProj!$C$1:$N$1,0))</f>
        <v>374241.8050225859</v>
      </c>
      <c r="X43" s="17">
        <f ca="1">OFFSET(PoolPlan_EnergyProj!$B$6,MATCH(X39,PoolPlan_EnergyProj!$B$7:$B$30),MATCH($C43,PoolPlan_EnergyProj!$C$1:$N$1,0))</f>
        <v>383124.63030838163</v>
      </c>
      <c r="Y43" s="17">
        <f ca="1">OFFSET(PoolPlan_EnergyProj!$B$6,MATCH(Y39,PoolPlan_EnergyProj!$B$7:$B$30),MATCH($C43,PoolPlan_EnergyProj!$C$1:$N$1,0))</f>
        <v>392092.47306397732</v>
      </c>
      <c r="Z43" s="17">
        <f ca="1">OFFSET(PoolPlan_EnergyProj!$B$6,MATCH(Z39,PoolPlan_EnergyProj!$B$7:$B$30),MATCH($C43,PoolPlan_EnergyProj!$C$1:$N$1,0))</f>
        <v>403572.83210354095</v>
      </c>
      <c r="AA43" s="17">
        <f ca="1">OFFSET(PoolPlan_EnergyProj!$B$6,MATCH(AA39,PoolPlan_EnergyProj!$B$7:$B$30),MATCH($C43,PoolPlan_EnergyProj!$C$1:$N$1,0))</f>
        <v>415096.79325928353</v>
      </c>
      <c r="AB43" s="17">
        <f ca="1">OFFSET(PoolPlan_EnergyProj!$B$6,MATCH(AB39,PoolPlan_EnergyProj!$B$7:$B$30),MATCH($C43,PoolPlan_EnergyProj!$C$1:$N$1,0))</f>
        <v>425568.67545045202</v>
      </c>
      <c r="AC43" s="17">
        <f ca="1">OFFSET(PoolPlan_EnergyProj!$B$6,MATCH(AC39,PoolPlan_EnergyProj!$B$7:$B$30),MATCH($C43,PoolPlan_EnergyProj!$C$1:$N$1,0))</f>
        <v>435669.7708930248</v>
      </c>
      <c r="AD43" s="17">
        <f ca="1">OFFSET(PoolPlan_EnergyProj!$B$6,MATCH(AD39,PoolPlan_EnergyProj!$B$7:$B$30),MATCH($C43,PoolPlan_EnergyProj!$C$1:$N$1,0))</f>
        <v>445867.54386207205</v>
      </c>
      <c r="AE43" s="17">
        <f ca="1">OFFSET(PoolPlan_EnergyProj!$B$6,MATCH(AE39,PoolPlan_EnergyProj!$B$7:$B$30),MATCH($C43,PoolPlan_EnergyProj!$C$1:$N$1,0))</f>
        <v>453068.72588803817</v>
      </c>
      <c r="AF43" s="17">
        <f ca="1">OFFSET(PoolPlan_EnergyProj!$B$6,MATCH(AF39,PoolPlan_EnergyProj!$B$7:$B$30),MATCH($C43,PoolPlan_EnergyProj!$C$1:$N$1,0))</f>
        <v>477844.5724318166</v>
      </c>
      <c r="AG43" s="17">
        <f ca="1">OFFSET(PoolPlan_EnergyProj!$B$6,MATCH(AG39,PoolPlan_EnergyProj!$B$7:$B$30),MATCH($C43,PoolPlan_EnergyProj!$C$1:$N$1,0))</f>
        <v>569336.4455375598</v>
      </c>
      <c r="AH43" s="17">
        <f ca="1">OFFSET(PoolPlan_EnergyProj!$B$6,MATCH(AH39,PoolPlan_EnergyProj!$B$7:$B$30),MATCH($C43,PoolPlan_EnergyProj!$C$1:$N$1,0))</f>
        <v>722239.88509261794</v>
      </c>
      <c r="BP43" s="17">
        <f ca="1">SUM(BP40:BP42)</f>
        <v>258870.09788758156</v>
      </c>
      <c r="BQ43" s="17">
        <f t="shared" ref="BQ43:CA43" ca="1" si="1111">SUM(BQ40:BQ42)</f>
        <v>265867.53575487441</v>
      </c>
      <c r="BR43" s="17">
        <f t="shared" ca="1" si="1111"/>
        <v>273591.12283481081</v>
      </c>
      <c r="BS43" s="17">
        <f t="shared" ca="1" si="1111"/>
        <v>283104.07760265277</v>
      </c>
      <c r="BT43" s="17">
        <f t="shared" ca="1" si="1111"/>
        <v>289731.43942493433</v>
      </c>
      <c r="BU43" s="17">
        <f t="shared" ca="1" si="1111"/>
        <v>299618.47105989564</v>
      </c>
      <c r="BV43" s="17">
        <f t="shared" ca="1" si="1111"/>
        <v>309438.48892454413</v>
      </c>
      <c r="BW43" s="17">
        <f t="shared" ca="1" si="1111"/>
        <v>319948.64860286214</v>
      </c>
      <c r="BX43" s="17">
        <f t="shared" ca="1" si="1111"/>
        <v>331581.03888253839</v>
      </c>
      <c r="BY43" s="17">
        <f t="shared" ca="1" si="1111"/>
        <v>343928.57611406059</v>
      </c>
      <c r="BZ43" s="17">
        <f t="shared" ca="1" si="1111"/>
        <v>354898.83033482503</v>
      </c>
      <c r="CA43" s="17">
        <f t="shared" ca="1" si="1111"/>
        <v>365032.91273496952</v>
      </c>
      <c r="CB43" s="17">
        <f t="shared" ref="CB43" ca="1" si="1112">SUM(CB40:CB42)</f>
        <v>374241.8050225859</v>
      </c>
      <c r="CC43" s="17">
        <f t="shared" ref="CC43:CM43" ca="1" si="1113">SUM(CC40:CC42)</f>
        <v>383124.63030838157</v>
      </c>
      <c r="CD43" s="17">
        <f t="shared" ca="1" si="1113"/>
        <v>392092.47306397732</v>
      </c>
      <c r="CE43" s="17">
        <f t="shared" ca="1" si="1113"/>
        <v>403572.83210354095</v>
      </c>
      <c r="CF43" s="17">
        <f t="shared" ca="1" si="1113"/>
        <v>415096.79325928353</v>
      </c>
      <c r="CG43" s="17">
        <f t="shared" ca="1" si="1113"/>
        <v>425568.67545045202</v>
      </c>
      <c r="CH43" s="17">
        <f t="shared" ca="1" si="1113"/>
        <v>435669.7708930248</v>
      </c>
      <c r="CI43" s="17">
        <f t="shared" ca="1" si="1113"/>
        <v>445867.54386207205</v>
      </c>
      <c r="CJ43" s="17">
        <f t="shared" ca="1" si="1113"/>
        <v>453068.72588803817</v>
      </c>
      <c r="CK43" s="17">
        <f t="shared" ca="1" si="1113"/>
        <v>477844.57243181666</v>
      </c>
      <c r="CL43" s="17">
        <f t="shared" ca="1" si="1113"/>
        <v>569336.4455375598</v>
      </c>
      <c r="CM43" s="17">
        <f t="shared" ca="1" si="1113"/>
        <v>722239.88509261794</v>
      </c>
    </row>
    <row r="44" spans="1:141" x14ac:dyDescent="0.25">
      <c r="A44" t="str">
        <f t="shared" si="17"/>
        <v>SWA</v>
      </c>
      <c r="C44" t="str">
        <f>IFERROR(VLOOKUP(D44,PoolPlan_EnergyProj!$C$89:$D$100,2,FALSE),C43)</f>
        <v>SWA</v>
      </c>
      <c r="D44" s="93" t="s">
        <v>21</v>
      </c>
      <c r="E44">
        <v>2010</v>
      </c>
      <c r="F44">
        <v>2015</v>
      </c>
      <c r="G44">
        <v>2020</v>
      </c>
      <c r="H44">
        <v>2030</v>
      </c>
      <c r="I44">
        <f>I39</f>
        <v>2050</v>
      </c>
      <c r="K44">
        <v>2010</v>
      </c>
      <c r="L44">
        <f>K44+1</f>
        <v>2011</v>
      </c>
      <c r="M44">
        <f t="shared" ref="M44:AF44" si="1114">L44+1</f>
        <v>2012</v>
      </c>
      <c r="N44">
        <f t="shared" si="1114"/>
        <v>2013</v>
      </c>
      <c r="O44">
        <f t="shared" si="1114"/>
        <v>2014</v>
      </c>
      <c r="P44">
        <f t="shared" si="1114"/>
        <v>2015</v>
      </c>
      <c r="Q44">
        <f t="shared" si="1114"/>
        <v>2016</v>
      </c>
      <c r="R44">
        <f t="shared" si="1114"/>
        <v>2017</v>
      </c>
      <c r="S44">
        <f t="shared" si="1114"/>
        <v>2018</v>
      </c>
      <c r="T44">
        <f t="shared" si="1114"/>
        <v>2019</v>
      </c>
      <c r="U44">
        <f t="shared" si="1114"/>
        <v>2020</v>
      </c>
      <c r="V44">
        <f t="shared" si="1114"/>
        <v>2021</v>
      </c>
      <c r="W44">
        <f t="shared" si="1114"/>
        <v>2022</v>
      </c>
      <c r="X44">
        <f t="shared" si="1114"/>
        <v>2023</v>
      </c>
      <c r="Y44">
        <f t="shared" si="1114"/>
        <v>2024</v>
      </c>
      <c r="Z44">
        <f t="shared" si="1114"/>
        <v>2025</v>
      </c>
      <c r="AA44">
        <f t="shared" si="1114"/>
        <v>2026</v>
      </c>
      <c r="AB44">
        <f t="shared" si="1114"/>
        <v>2027</v>
      </c>
      <c r="AC44">
        <f t="shared" si="1114"/>
        <v>2028</v>
      </c>
      <c r="AD44">
        <f t="shared" si="1114"/>
        <v>2029</v>
      </c>
      <c r="AE44">
        <f t="shared" si="1114"/>
        <v>2030</v>
      </c>
      <c r="AF44">
        <f t="shared" si="1114"/>
        <v>2031</v>
      </c>
      <c r="AG44">
        <v>2040</v>
      </c>
      <c r="AH44">
        <v>2050</v>
      </c>
      <c r="AL44">
        <f>E44</f>
        <v>2010</v>
      </c>
      <c r="AM44">
        <f>G44</f>
        <v>2020</v>
      </c>
      <c r="AN44">
        <f>H44</f>
        <v>2030</v>
      </c>
      <c r="AO44">
        <f>I44</f>
        <v>2050</v>
      </c>
      <c r="AQ44">
        <v>2010</v>
      </c>
      <c r="AR44">
        <f>AQ44+1</f>
        <v>2011</v>
      </c>
      <c r="AS44">
        <f t="shared" ref="AS44:BL44" si="1115">AR44+1</f>
        <v>2012</v>
      </c>
      <c r="AT44">
        <f t="shared" si="1115"/>
        <v>2013</v>
      </c>
      <c r="AU44">
        <f t="shared" si="1115"/>
        <v>2014</v>
      </c>
      <c r="AV44">
        <f t="shared" si="1115"/>
        <v>2015</v>
      </c>
      <c r="AW44">
        <f t="shared" si="1115"/>
        <v>2016</v>
      </c>
      <c r="AX44">
        <f t="shared" si="1115"/>
        <v>2017</v>
      </c>
      <c r="AY44">
        <f t="shared" si="1115"/>
        <v>2018</v>
      </c>
      <c r="AZ44">
        <f t="shared" si="1115"/>
        <v>2019</v>
      </c>
      <c r="BA44">
        <f t="shared" si="1115"/>
        <v>2020</v>
      </c>
      <c r="BB44">
        <f t="shared" si="1115"/>
        <v>2021</v>
      </c>
      <c r="BC44">
        <f t="shared" si="1115"/>
        <v>2022</v>
      </c>
      <c r="BD44">
        <f t="shared" si="1115"/>
        <v>2023</v>
      </c>
      <c r="BE44">
        <f t="shared" si="1115"/>
        <v>2024</v>
      </c>
      <c r="BF44">
        <f t="shared" si="1115"/>
        <v>2025</v>
      </c>
      <c r="BG44">
        <f t="shared" si="1115"/>
        <v>2026</v>
      </c>
      <c r="BH44">
        <f t="shared" si="1115"/>
        <v>2027</v>
      </c>
      <c r="BI44">
        <f t="shared" si="1115"/>
        <v>2028</v>
      </c>
      <c r="BJ44">
        <f t="shared" si="1115"/>
        <v>2029</v>
      </c>
      <c r="BK44">
        <f t="shared" si="1115"/>
        <v>2030</v>
      </c>
      <c r="BL44">
        <f t="shared" si="1115"/>
        <v>2031</v>
      </c>
      <c r="BM44">
        <v>2040</v>
      </c>
      <c r="BN44">
        <v>2050</v>
      </c>
      <c r="BP44">
        <f>AQ44</f>
        <v>2010</v>
      </c>
      <c r="BQ44">
        <f t="shared" ref="BQ44:CM44" si="1116">AR44</f>
        <v>2011</v>
      </c>
      <c r="BR44">
        <f t="shared" si="1116"/>
        <v>2012</v>
      </c>
      <c r="BS44">
        <f t="shared" si="1116"/>
        <v>2013</v>
      </c>
      <c r="BT44">
        <f t="shared" si="1116"/>
        <v>2014</v>
      </c>
      <c r="BU44">
        <f t="shared" si="1116"/>
        <v>2015</v>
      </c>
      <c r="BV44">
        <f t="shared" si="1116"/>
        <v>2016</v>
      </c>
      <c r="BW44">
        <f t="shared" si="1116"/>
        <v>2017</v>
      </c>
      <c r="BX44">
        <f t="shared" si="1116"/>
        <v>2018</v>
      </c>
      <c r="BY44">
        <f t="shared" si="1116"/>
        <v>2019</v>
      </c>
      <c r="BZ44">
        <f t="shared" si="1116"/>
        <v>2020</v>
      </c>
      <c r="CA44">
        <f t="shared" si="1116"/>
        <v>2021</v>
      </c>
      <c r="CB44">
        <f t="shared" si="1116"/>
        <v>2022</v>
      </c>
      <c r="CC44">
        <f t="shared" si="1116"/>
        <v>2023</v>
      </c>
      <c r="CD44">
        <f t="shared" si="1116"/>
        <v>2024</v>
      </c>
      <c r="CE44">
        <f t="shared" si="1116"/>
        <v>2025</v>
      </c>
      <c r="CF44">
        <f t="shared" si="1116"/>
        <v>2026</v>
      </c>
      <c r="CG44">
        <f t="shared" si="1116"/>
        <v>2027</v>
      </c>
      <c r="CH44">
        <f t="shared" si="1116"/>
        <v>2028</v>
      </c>
      <c r="CI44">
        <f t="shared" si="1116"/>
        <v>2029</v>
      </c>
      <c r="CJ44">
        <f t="shared" si="1116"/>
        <v>2030</v>
      </c>
      <c r="CK44">
        <f t="shared" si="1116"/>
        <v>2031</v>
      </c>
      <c r="CL44">
        <f t="shared" si="1116"/>
        <v>2040</v>
      </c>
      <c r="CM44">
        <f t="shared" si="1116"/>
        <v>2050</v>
      </c>
      <c r="CO44">
        <f>BP44</f>
        <v>2010</v>
      </c>
      <c r="CP44">
        <f t="shared" ref="CP44:DD44" si="1117">BQ44</f>
        <v>2011</v>
      </c>
      <c r="CQ44">
        <f t="shared" si="1117"/>
        <v>2012</v>
      </c>
      <c r="CR44">
        <f t="shared" si="1117"/>
        <v>2013</v>
      </c>
      <c r="CS44">
        <f t="shared" si="1117"/>
        <v>2014</v>
      </c>
      <c r="CT44">
        <f t="shared" si="1117"/>
        <v>2015</v>
      </c>
      <c r="CU44">
        <f t="shared" si="1117"/>
        <v>2016</v>
      </c>
      <c r="CV44">
        <f t="shared" si="1117"/>
        <v>2017</v>
      </c>
      <c r="CW44">
        <f t="shared" si="1117"/>
        <v>2018</v>
      </c>
      <c r="CX44">
        <f t="shared" si="1117"/>
        <v>2019</v>
      </c>
      <c r="CY44">
        <f t="shared" si="1117"/>
        <v>2020</v>
      </c>
      <c r="CZ44">
        <f t="shared" si="1117"/>
        <v>2021</v>
      </c>
      <c r="DA44">
        <f t="shared" si="1117"/>
        <v>2022</v>
      </c>
      <c r="DB44">
        <f t="shared" si="1117"/>
        <v>2023</v>
      </c>
      <c r="DC44">
        <f t="shared" si="1117"/>
        <v>2024</v>
      </c>
      <c r="DD44">
        <f t="shared" si="1117"/>
        <v>2025</v>
      </c>
      <c r="DE44">
        <f>CF44</f>
        <v>2026</v>
      </c>
      <c r="DF44">
        <f t="shared" ref="DF44:DG44" si="1118">CG44</f>
        <v>2027</v>
      </c>
      <c r="DG44">
        <f t="shared" si="1118"/>
        <v>2028</v>
      </c>
      <c r="DH44">
        <f>CI44</f>
        <v>2029</v>
      </c>
      <c r="DI44">
        <f t="shared" ref="DI44" si="1119">CJ44</f>
        <v>2030</v>
      </c>
      <c r="DJ44">
        <f>CK44</f>
        <v>2031</v>
      </c>
      <c r="DK44">
        <f>CL44</f>
        <v>2040</v>
      </c>
      <c r="DL44">
        <f t="shared" ref="DL44" si="1120">CM44</f>
        <v>2050</v>
      </c>
    </row>
    <row r="45" spans="1:141" x14ac:dyDescent="0.25">
      <c r="A45" t="str">
        <f t="shared" si="17"/>
        <v>IndustrySWA</v>
      </c>
      <c r="B45" t="str">
        <f t="shared" ref="B45:B47" si="1121">B40</f>
        <v>Industry</v>
      </c>
      <c r="C45" t="str">
        <f>IFERROR(VLOOKUP(D45,PoolPlan_EnergyProj!$C$89:$D$100,2,FALSE),C44)</f>
        <v>SWA</v>
      </c>
      <c r="D45" t="s">
        <v>146</v>
      </c>
      <c r="E45" s="91">
        <v>0.35</v>
      </c>
      <c r="F45" s="91">
        <v>0.35</v>
      </c>
      <c r="G45" s="91">
        <v>0.4</v>
      </c>
      <c r="H45" s="91">
        <v>0.4</v>
      </c>
      <c r="I45" s="91">
        <v>0.4</v>
      </c>
      <c r="K45" s="91">
        <f>E45</f>
        <v>0.35</v>
      </c>
      <c r="L45" s="91">
        <f>($P45-$K45)/($P$4-$K$4)+K45</f>
        <v>0.35</v>
      </c>
      <c r="M45" s="91">
        <f t="shared" ref="M45:O45" si="1122">($P45-$K45)/($P$4-$K$4)+L45</f>
        <v>0.35</v>
      </c>
      <c r="N45" s="91">
        <f t="shared" si="1122"/>
        <v>0.35</v>
      </c>
      <c r="O45" s="91">
        <f t="shared" si="1122"/>
        <v>0.35</v>
      </c>
      <c r="P45" s="91">
        <f>F45</f>
        <v>0.35</v>
      </c>
      <c r="Q45" s="91">
        <f>($U45-$P45)/($U$4-$P$4)+P45</f>
        <v>0.36</v>
      </c>
      <c r="R45" s="91">
        <f t="shared" ref="R45:T45" si="1123">($U45-$P45)/($U$4-$P$4)+Q45</f>
        <v>0.37</v>
      </c>
      <c r="S45" s="91">
        <f t="shared" si="1123"/>
        <v>0.38</v>
      </c>
      <c r="T45" s="91">
        <f t="shared" si="1123"/>
        <v>0.39</v>
      </c>
      <c r="U45" s="91">
        <f>G45</f>
        <v>0.4</v>
      </c>
      <c r="V45" s="91">
        <f>(AE45-U45)/(AE$4-U$4)+U45</f>
        <v>0.4</v>
      </c>
      <c r="W45" s="91">
        <f>(AE45-U45)/(AE$4-U$4)+V45</f>
        <v>0.4</v>
      </c>
      <c r="X45" s="91">
        <f>(AE45-U45)/(AE$4-U$4)+W45</f>
        <v>0.4</v>
      </c>
      <c r="Y45" s="91">
        <f>(AE45-U45)/(AE$4-U$4)+X45</f>
        <v>0.4</v>
      </c>
      <c r="Z45" s="91">
        <f>(AE45-U45)/(AE$4-U$4)+Y45</f>
        <v>0.4</v>
      </c>
      <c r="AA45" s="91">
        <f>(AE45-U45)/(AE$4-U$4)+Z45</f>
        <v>0.4</v>
      </c>
      <c r="AB45" s="91">
        <f>(AE45-U45)/(AE$4-U$4)+AA45</f>
        <v>0.4</v>
      </c>
      <c r="AC45" s="91">
        <f>(AE45-U45)/(AE$4-U$4)+AB45</f>
        <v>0.4</v>
      </c>
      <c r="AD45" s="91">
        <f>(AE45-U45)/(AE$4-U$4)+AC45</f>
        <v>0.4</v>
      </c>
      <c r="AE45" s="91">
        <f>H45</f>
        <v>0.4</v>
      </c>
      <c r="AF45" s="91">
        <f>(AH45-AE45)/(AH$4-AE$4)+AE45</f>
        <v>0.4</v>
      </c>
      <c r="AG45" s="91">
        <f>(AE45+AH45)/2</f>
        <v>0.4</v>
      </c>
      <c r="AH45" s="91">
        <f>I45</f>
        <v>0.4</v>
      </c>
      <c r="AJ45" s="94">
        <f>SUMIF(AR2008_Stats!$A$18:$A$29,C45,AR2008_Stats!$T$18:$T$29)</f>
        <v>0.14034557811042503</v>
      </c>
      <c r="AK45" s="91">
        <f>SUMIF(AR2008_Stats!$A$18:$A$29,C45,AR2008_Stats!$R$18:$R$29)</f>
        <v>0.05</v>
      </c>
      <c r="AL45" s="83">
        <v>0.02</v>
      </c>
      <c r="AM45" s="91">
        <v>0.02</v>
      </c>
      <c r="AN45" s="91">
        <v>0.01</v>
      </c>
      <c r="AO45" s="91">
        <v>0.01</v>
      </c>
      <c r="AP45" s="95" t="str">
        <f>AQ45&amp;" "&amp;AR45&amp;" "&amp;AS45&amp;" "&amp;AT45&amp;" "&amp;AU45&amp;" "&amp;AV45&amp;" "&amp;AW45&amp;" "&amp;AX45&amp;" "&amp;AY45&amp;" "&amp;AZ45&amp;" "&amp;BA45&amp;" "&amp;BB45&amp;" "&amp;BC45&amp;" "&amp;BD45&amp;" "&amp;BE45&amp;" "&amp;BF45&amp;" "&amp;BG45&amp;" "&amp;BH45&amp;" "&amp;BI45&amp;" "&amp;BJ45&amp;" "&amp;BK45&amp;" "&amp;BL45&amp;" "&amp;BM45&amp;" "&amp;BN45&amp;" "</f>
        <v xml:space="preserve">0.02 0.02 0.02 0.02 0.02 0.02 0.02 0.02 0.02 0.02 0.02 0.019 0.018 0.017 0.016 0.015 0.014 0.013 0.012 0.011 0.01 0.01 0.01 0.01 </v>
      </c>
      <c r="AQ45" s="91">
        <f>AL45</f>
        <v>0.02</v>
      </c>
      <c r="AR45" s="91">
        <f>(BA45-AQ45)/(BA$4-AQ$4)+AQ45</f>
        <v>0.02</v>
      </c>
      <c r="AS45" s="91">
        <f>(BA45-AQ45)/(BA$4-AQ$4)+AR45</f>
        <v>0.02</v>
      </c>
      <c r="AT45" s="91">
        <f>(BA45-AQ45)/(BA$4-AQ$4)+AS45</f>
        <v>0.02</v>
      </c>
      <c r="AU45" s="91">
        <f>(BA45-AQ45)/(BA$4-AQ$4)+AT45</f>
        <v>0.02</v>
      </c>
      <c r="AV45" s="91">
        <f>(BA45-AQ45)/(BA$4-AQ$4)+AU45</f>
        <v>0.02</v>
      </c>
      <c r="AW45" s="91">
        <f>(BA45-AQ45)/(BA$4-AQ$4)+AV45</f>
        <v>0.02</v>
      </c>
      <c r="AX45" s="91">
        <f>(BA45-AQ45)/(BA$4-AQ$4)+AW45</f>
        <v>0.02</v>
      </c>
      <c r="AY45" s="91">
        <f>(BA45-AQ45)/(BA$4-AQ$4)+AX45</f>
        <v>0.02</v>
      </c>
      <c r="AZ45" s="91">
        <f>(BA45-AQ45)/(BA$4-AQ$4)+AY45</f>
        <v>0.02</v>
      </c>
      <c r="BA45" s="91">
        <f>AM45</f>
        <v>0.02</v>
      </c>
      <c r="BB45" s="91">
        <f>(BK45-BA45)/(BK$4-BA$4)+BA45</f>
        <v>1.9E-2</v>
      </c>
      <c r="BC45" s="91">
        <f>(BK45-BA45)/(BK$4-BA$4)+BB45</f>
        <v>1.7999999999999999E-2</v>
      </c>
      <c r="BD45" s="91">
        <f>(BK45-BA45)/(BK$4-BA$4)+BC45</f>
        <v>1.6999999999999998E-2</v>
      </c>
      <c r="BE45" s="91">
        <f>(BK45-BA45)/(BK$4-BA$4)+BD45</f>
        <v>1.5999999999999997E-2</v>
      </c>
      <c r="BF45" s="91">
        <f>(BK45-BA45)/(BK$4-BA$4)+BE45</f>
        <v>1.4999999999999996E-2</v>
      </c>
      <c r="BG45" s="91">
        <f>(BK45-BA45)/(BK$4-BA$4)+BF45</f>
        <v>1.3999999999999995E-2</v>
      </c>
      <c r="BH45" s="91">
        <f>(BK45-BA45)/(BK$4-BA$4)+BG45</f>
        <v>1.2999999999999994E-2</v>
      </c>
      <c r="BI45" s="91">
        <f>(BK45-BA45)/(BK$4-BA$4)+BH45</f>
        <v>1.1999999999999993E-2</v>
      </c>
      <c r="BJ45" s="91">
        <f>(BK45-BA45)/(BK$4-BA$4)+BI45</f>
        <v>1.0999999999999992E-2</v>
      </c>
      <c r="BK45" s="91">
        <f>AN45</f>
        <v>0.01</v>
      </c>
      <c r="BL45" s="91">
        <f>(BN45-BK45)/(BN$4-BK$4)+BK45</f>
        <v>0.01</v>
      </c>
      <c r="BM45" s="91">
        <f>(BK45+BN45)/2</f>
        <v>0.01</v>
      </c>
      <c r="BN45" s="91">
        <f>AO45</f>
        <v>0.01</v>
      </c>
      <c r="BP45" s="17">
        <f ca="1">K45*K48</f>
        <v>441.7</v>
      </c>
      <c r="BQ45" s="17">
        <f t="shared" ref="BQ45" ca="1" si="1124">L45*L48</f>
        <v>461.65</v>
      </c>
      <c r="BR45" s="17">
        <f t="shared" ref="BR45" ca="1" si="1125">M45*M48</f>
        <v>485.09999999999997</v>
      </c>
      <c r="BS45" s="17">
        <f t="shared" ref="BS45" ca="1" si="1126">N45*N48</f>
        <v>505.04999999999995</v>
      </c>
      <c r="BT45" s="17">
        <f t="shared" ref="BT45" ca="1" si="1127">O45*O48</f>
        <v>522.9</v>
      </c>
      <c r="BU45" s="17">
        <f t="shared" ref="BU45" ca="1" si="1128">P45*P48</f>
        <v>536.9</v>
      </c>
      <c r="BV45" s="17">
        <f t="shared" ref="BV45" ca="1" si="1129">Q45*Q48</f>
        <v>566.28</v>
      </c>
      <c r="BW45" s="17">
        <f t="shared" ref="BW45" ca="1" si="1130">R45*R48</f>
        <v>600.88</v>
      </c>
      <c r="BX45" s="17">
        <f t="shared" ref="BX45" ca="1" si="1131">S45*S48</f>
        <v>630.04</v>
      </c>
      <c r="BY45" s="17">
        <f t="shared" ref="BY45" ca="1" si="1132">T45*T48</f>
        <v>662.22</v>
      </c>
      <c r="BZ45" s="17">
        <f t="shared" ref="BZ45" ca="1" si="1133">U45*U48</f>
        <v>688</v>
      </c>
      <c r="CA45" s="17">
        <f t="shared" ref="CA45" ca="1" si="1134">V45*V48</f>
        <v>697.2</v>
      </c>
      <c r="CB45" s="17">
        <f t="shared" ref="CB45" ca="1" si="1135">W45*W48</f>
        <v>704</v>
      </c>
      <c r="CC45" s="17">
        <f t="shared" ref="CC45" ca="1" si="1136">X45*X48</f>
        <v>713.2</v>
      </c>
      <c r="CD45" s="17">
        <f t="shared" ref="CD45" ca="1" si="1137">Y45*Y48</f>
        <v>722</v>
      </c>
      <c r="CE45" s="17">
        <f t="shared" ref="CE45" ca="1" si="1138">Z45*Z48</f>
        <v>731.2</v>
      </c>
      <c r="CF45" s="17">
        <f t="shared" ref="CF45" ca="1" si="1139">AA45*AA48</f>
        <v>740.51722991689758</v>
      </c>
      <c r="CG45" s="17">
        <f t="shared" ref="CG45" ca="1" si="1140">AB45*AB48</f>
        <v>749.95318353910716</v>
      </c>
      <c r="CH45" s="17">
        <f t="shared" ref="CH45" ca="1" si="1141">AC45*AC48</f>
        <v>759.50937368946688</v>
      </c>
      <c r="CI45" s="17">
        <f t="shared" ref="CI45" ca="1" si="1142">AD45*AD48</f>
        <v>769.1873324677814</v>
      </c>
      <c r="CJ45" s="17">
        <f t="shared" ref="CJ45" ca="1" si="1143">AE45*AE48</f>
        <v>780.68531537200226</v>
      </c>
      <c r="CK45" s="17">
        <f t="shared" ref="CK45" ca="1" si="1144">AF45*AF48</f>
        <v>802.02290719454595</v>
      </c>
      <c r="CL45" s="17">
        <f t="shared" ref="CL45" ca="1" si="1145">AG45*AG48</f>
        <v>911.49580314193429</v>
      </c>
      <c r="CM45" s="17">
        <f t="shared" ref="CM45" ca="1" si="1146">AH45*AH48</f>
        <v>1087.7615430293026</v>
      </c>
      <c r="CN45" s="95" t="str">
        <f t="shared" ref="CN45:CN47" ca="1" si="1147">CO45&amp;" "&amp;CP45&amp;" "&amp;CQ45&amp;" "&amp;CR45&amp;" "&amp;CS45&amp;" "&amp;CT45&amp;" "&amp;CU45&amp;" "&amp;CV45&amp;" "&amp;CW45&amp;" "&amp;CX45&amp;" "&amp;CY45&amp;" "&amp;CZ45&amp;" "&amp;DA45&amp;" "&amp;DB45&amp;" "&amp;DC45&amp;" "&amp;DD45&amp;" "&amp;DE45&amp;" "&amp;DF45&amp;" "&amp;DG45&amp;" "&amp;DH45&amp;" "&amp;DI45&amp;" "&amp;DJ45&amp;" "&amp;DK45&amp;" "&amp;DL45&amp;" "</f>
        <v xml:space="preserve">46.9 49.1 51.6 53.7 55.6 57.1 60.2 63.9 67 70.4 73.1 74.2 75 76 77 78.1 79.2 80.3 81.4 82.5 83.8 86.1 97.9 116.8 </v>
      </c>
      <c r="CO45" s="96">
        <f ca="1">ROUND(BP45*(1-AQ45)*(1-$AK45)/8.76*(1+CO$2),1)</f>
        <v>46.9</v>
      </c>
      <c r="CP45" s="96">
        <f t="shared" ref="CP45:CP47" ca="1" si="1148">ROUND(BQ45*(1-AR45)*(1-$AK45)/8.76*(1+CP$2),1)</f>
        <v>49.1</v>
      </c>
      <c r="CQ45" s="96">
        <f t="shared" ref="CQ45:CQ47" ca="1" si="1149">ROUND(BR45*(1-AS45)*(1-$AK45)/8.76*(1+CQ$2),1)</f>
        <v>51.6</v>
      </c>
      <c r="CR45" s="96">
        <f t="shared" ref="CR45:CR47" ca="1" si="1150">ROUND(BS45*(1-AT45)*(1-$AK45)/8.76*(1+CR$2),1)</f>
        <v>53.7</v>
      </c>
      <c r="CS45" s="96">
        <f t="shared" ref="CS45:CS47" ca="1" si="1151">ROUND(BT45*(1-AU45)*(1-$AK45)/8.76*(1+CS$2),1)</f>
        <v>55.6</v>
      </c>
      <c r="CT45" s="96">
        <f t="shared" ref="CT45:CT47" ca="1" si="1152">ROUND(BU45*(1-AV45)*(1-$AK45)/8.76*(1+CT$2),1)</f>
        <v>57.1</v>
      </c>
      <c r="CU45" s="96">
        <f t="shared" ref="CU45:CU47" ca="1" si="1153">ROUND(BV45*(1-AW45)*(1-$AK45)/8.76*(1+CU$2),1)</f>
        <v>60.2</v>
      </c>
      <c r="CV45" s="96">
        <f t="shared" ref="CV45:CV47" ca="1" si="1154">ROUND(BW45*(1-AX45)*(1-$AK45)/8.76*(1+CV$2),1)</f>
        <v>63.9</v>
      </c>
      <c r="CW45" s="96">
        <f t="shared" ref="CW45:CW47" ca="1" si="1155">ROUND(BX45*(1-AY45)*(1-$AK45)/8.76*(1+CW$2),1)</f>
        <v>67</v>
      </c>
      <c r="CX45" s="96">
        <f t="shared" ref="CX45:CX47" ca="1" si="1156">ROUND(BY45*(1-AZ45)*(1-$AK45)/8.76*(1+CX$2),1)</f>
        <v>70.400000000000006</v>
      </c>
      <c r="CY45" s="96">
        <f t="shared" ref="CY45:CY47" ca="1" si="1157">ROUND(BZ45*(1-BA45)*(1-$AK45)/8.76*(1+CY$2),1)</f>
        <v>73.099999999999994</v>
      </c>
      <c r="CZ45" s="96">
        <f t="shared" ref="CZ45:CZ47" ca="1" si="1158">ROUND(CA45*(1-BB45)*(1-$AK45)/8.76*(1+CZ$2),1)</f>
        <v>74.2</v>
      </c>
      <c r="DA45" s="96">
        <f t="shared" ref="DA45:DA47" ca="1" si="1159">ROUND(CB45*(1-BC45)*(1-$AK45)/8.76*(1+DA$2),1)</f>
        <v>75</v>
      </c>
      <c r="DB45" s="96">
        <f t="shared" ref="DB45:DB47" ca="1" si="1160">ROUND(CC45*(1-BD45)*(1-$AK45)/8.76*(1+DB$2),1)</f>
        <v>76</v>
      </c>
      <c r="DC45" s="96">
        <f t="shared" ref="DC45:DC47" ca="1" si="1161">ROUND(CD45*(1-BE45)*(1-$AK45)/8.76*(1+DC$2),1)</f>
        <v>77</v>
      </c>
      <c r="DD45" s="96">
        <f t="shared" ref="DD45:DD47" ca="1" si="1162">ROUND(CE45*(1-BF45)*(1-$AK45)/8.76*(1+DD$2),1)</f>
        <v>78.099999999999994</v>
      </c>
      <c r="DE45" s="96">
        <f t="shared" ref="DE45:DE47" ca="1" si="1163">ROUND(CF45*(1-BG45)*(1-$AK45)/8.76*(1+DE$2),1)</f>
        <v>79.2</v>
      </c>
      <c r="DF45" s="96">
        <f t="shared" ref="DF45:DF47" ca="1" si="1164">ROUND(CG45*(1-BH45)*(1-$AK45)/8.76*(1+DF$2),1)</f>
        <v>80.3</v>
      </c>
      <c r="DG45" s="96">
        <f t="shared" ref="DG45:DG47" ca="1" si="1165">ROUND(CH45*(1-BI45)*(1-$AK45)/8.76*(1+DG$2),1)</f>
        <v>81.400000000000006</v>
      </c>
      <c r="DH45" s="96">
        <f t="shared" ref="DH45:DH47" ca="1" si="1166">ROUND(CI45*(1-BJ45)*(1-$AK45)/8.76*(1+DH$2),1)</f>
        <v>82.5</v>
      </c>
      <c r="DI45" s="96">
        <f t="shared" ref="DI45:DI47" ca="1" si="1167">ROUND(CJ45*(1-BK45)*(1-$AK45)/8.76*(1+DI$2),1)</f>
        <v>83.8</v>
      </c>
      <c r="DJ45" s="96">
        <f t="shared" ref="DJ45:DJ47" ca="1" si="1168">ROUND(CK45*(1-BL45)*(1-$AK45)/8.76*(1+DJ$2),1)</f>
        <v>86.1</v>
      </c>
      <c r="DK45" s="96">
        <f t="shared" ref="DK45:DK47" ca="1" si="1169">ROUND(CL45*(1-BM45)*(1-$AK45)/8.76*(1+DK$2),1)</f>
        <v>97.9</v>
      </c>
      <c r="DL45" s="96">
        <f t="shared" ref="DL45:DL47" ca="1" si="1170">ROUND(CM45*(1-BN45)*(1-$AK45)/8.76*(1+DL$2),1)</f>
        <v>116.8</v>
      </c>
      <c r="DM45" s="95" t="str">
        <f t="shared" ref="DM45:DM47" si="1171">DN45&amp;" "&amp;DO45&amp;" "&amp;DP45&amp;" "&amp;DQ45&amp;" "&amp;DR45&amp;" "&amp;DS45&amp;" "&amp;DT45&amp;" "&amp;DU45&amp;" "&amp;DV45&amp;" "&amp;DW45&amp;" "&amp;DX45&amp;" "&amp;DY45&amp;" "&amp;DZ45&amp;" "&amp;EA45&amp;" "&amp;EB45&amp;" "&amp;EC45&amp;" "&amp;ED45&amp;" "&amp;EE45&amp;" "&amp;EF45&amp;" "&amp;EG45&amp;" "&amp;EH45&amp;" "&amp;EI45&amp;" "&amp;EJ45&amp;" "&amp;EK45&amp;" "</f>
        <v xml:space="preserve">0.98 0.98 0.98 0.98 0.98 0.98 0.98 0.98 0.98 0.98 0.98 0.981 0.982 0.983 0.984 0.985 0.986 0.987 0.988 0.989 0.99 0.99 0.99 0.99 </v>
      </c>
      <c r="DN45" s="91">
        <f>1-AQ45</f>
        <v>0.98</v>
      </c>
      <c r="DO45" s="91">
        <f t="shared" ref="DO45:ED47" si="1172">1-AR45</f>
        <v>0.98</v>
      </c>
      <c r="DP45" s="91">
        <f t="shared" si="1172"/>
        <v>0.98</v>
      </c>
      <c r="DQ45" s="91">
        <f t="shared" si="1172"/>
        <v>0.98</v>
      </c>
      <c r="DR45" s="91">
        <f t="shared" si="1172"/>
        <v>0.98</v>
      </c>
      <c r="DS45" s="91">
        <f t="shared" si="1172"/>
        <v>0.98</v>
      </c>
      <c r="DT45" s="91">
        <f t="shared" si="1172"/>
        <v>0.98</v>
      </c>
      <c r="DU45" s="91">
        <f t="shared" si="1172"/>
        <v>0.98</v>
      </c>
      <c r="DV45" s="91">
        <f t="shared" si="1172"/>
        <v>0.98</v>
      </c>
      <c r="DW45" s="91">
        <f t="shared" si="1172"/>
        <v>0.98</v>
      </c>
      <c r="DX45" s="91">
        <f t="shared" si="1172"/>
        <v>0.98</v>
      </c>
      <c r="DY45" s="91">
        <f t="shared" si="1172"/>
        <v>0.98099999999999998</v>
      </c>
      <c r="DZ45" s="91">
        <f t="shared" si="1172"/>
        <v>0.98199999999999998</v>
      </c>
      <c r="EA45" s="91">
        <f t="shared" si="1172"/>
        <v>0.98299999999999998</v>
      </c>
      <c r="EB45" s="91">
        <f t="shared" si="1172"/>
        <v>0.98399999999999999</v>
      </c>
      <c r="EC45" s="91">
        <f t="shared" si="1172"/>
        <v>0.98499999999999999</v>
      </c>
      <c r="ED45" s="91">
        <f t="shared" si="1172"/>
        <v>0.98599999999999999</v>
      </c>
      <c r="EE45" s="91">
        <f t="shared" ref="EE45:EK47" si="1173">1-BH45</f>
        <v>0.98699999999999999</v>
      </c>
      <c r="EF45" s="91">
        <f t="shared" si="1173"/>
        <v>0.98799999999999999</v>
      </c>
      <c r="EG45" s="91">
        <f t="shared" si="1173"/>
        <v>0.98899999999999999</v>
      </c>
      <c r="EH45" s="91">
        <f t="shared" si="1173"/>
        <v>0.99</v>
      </c>
      <c r="EI45" s="91">
        <f t="shared" si="1173"/>
        <v>0.99</v>
      </c>
      <c r="EJ45" s="91">
        <f t="shared" si="1173"/>
        <v>0.99</v>
      </c>
      <c r="EK45" s="91">
        <f t="shared" si="1173"/>
        <v>0.99</v>
      </c>
    </row>
    <row r="46" spans="1:141" x14ac:dyDescent="0.25">
      <c r="A46" t="str">
        <f t="shared" si="17"/>
        <v>UrbanSWA</v>
      </c>
      <c r="B46" t="str">
        <f t="shared" si="1121"/>
        <v>Urban</v>
      </c>
      <c r="C46" t="str">
        <f>IFERROR(VLOOKUP(D46,PoolPlan_EnergyProj!$C$89:$D$100,2,FALSE),C45)</f>
        <v>SWA</v>
      </c>
      <c r="D46" t="s">
        <v>148</v>
      </c>
      <c r="E46" s="91">
        <f>1-E45-E47</f>
        <v>0.63</v>
      </c>
      <c r="F46" s="91">
        <f>1-F45-F47</f>
        <v>0.62</v>
      </c>
      <c r="G46" s="91">
        <f t="shared" ref="G46:I46" si="1174">1-G45-G47</f>
        <v>0.56999999999999995</v>
      </c>
      <c r="H46" s="91">
        <f t="shared" si="1174"/>
        <v>0.54999999999999993</v>
      </c>
      <c r="I46" s="91">
        <f t="shared" si="1174"/>
        <v>0.54999999999999993</v>
      </c>
      <c r="K46" s="91">
        <f t="shared" ref="K46:K47" si="1175">E46</f>
        <v>0.63</v>
      </c>
      <c r="L46" s="91">
        <f t="shared" ref="L46:O47" si="1176">($P46-$K46)/($P$4-$K$4)+K46</f>
        <v>0.628</v>
      </c>
      <c r="M46" s="91">
        <f t="shared" si="1176"/>
        <v>0.626</v>
      </c>
      <c r="N46" s="91">
        <f t="shared" si="1176"/>
        <v>0.624</v>
      </c>
      <c r="O46" s="91">
        <f t="shared" si="1176"/>
        <v>0.622</v>
      </c>
      <c r="P46" s="91">
        <f t="shared" ref="P46:P47" si="1177">F46</f>
        <v>0.62</v>
      </c>
      <c r="Q46" s="91">
        <f t="shared" ref="Q46:T47" si="1178">($U46-$P46)/($U$4-$P$4)+P46</f>
        <v>0.61</v>
      </c>
      <c r="R46" s="91">
        <f t="shared" si="1178"/>
        <v>0.6</v>
      </c>
      <c r="S46" s="91">
        <f t="shared" si="1178"/>
        <v>0.59</v>
      </c>
      <c r="T46" s="91">
        <f t="shared" si="1178"/>
        <v>0.57999999999999996</v>
      </c>
      <c r="U46" s="91">
        <f t="shared" ref="U46:U47" si="1179">G46</f>
        <v>0.56999999999999995</v>
      </c>
      <c r="V46" s="91">
        <f t="shared" ref="V46:V47" si="1180">(AE46-U46)/(AE$4-U$4)+U46</f>
        <v>0.56799999999999995</v>
      </c>
      <c r="W46" s="91">
        <f t="shared" ref="W46:W47" si="1181">(AE46-U46)/(AE$4-U$4)+V46</f>
        <v>0.56599999999999995</v>
      </c>
      <c r="X46" s="91">
        <f t="shared" ref="X46:X47" si="1182">(AE46-U46)/(AE$4-U$4)+W46</f>
        <v>0.56399999999999995</v>
      </c>
      <c r="Y46" s="91">
        <f t="shared" ref="Y46:Y47" si="1183">(AE46-U46)/(AE$4-U$4)+X46</f>
        <v>0.56199999999999994</v>
      </c>
      <c r="Z46" s="91">
        <f t="shared" ref="Z46:Z47" si="1184">(AE46-U46)/(AE$4-U$4)+Y46</f>
        <v>0.55999999999999994</v>
      </c>
      <c r="AA46" s="91">
        <f t="shared" ref="AA46:AA47" si="1185">(AE46-U46)/(AE$4-U$4)+Z46</f>
        <v>0.55799999999999994</v>
      </c>
      <c r="AB46" s="91">
        <f t="shared" ref="AB46:AB47" si="1186">(AE46-U46)/(AE$4-U$4)+AA46</f>
        <v>0.55599999999999994</v>
      </c>
      <c r="AC46" s="91">
        <f t="shared" ref="AC46:AC47" si="1187">(AE46-U46)/(AE$4-U$4)+AB46</f>
        <v>0.55399999999999994</v>
      </c>
      <c r="AD46" s="91">
        <f t="shared" ref="AD46:AD47" si="1188">(AE46-U46)/(AE$4-U$4)+AC46</f>
        <v>0.55199999999999994</v>
      </c>
      <c r="AE46" s="91">
        <f t="shared" ref="AE46:AE47" si="1189">H46</f>
        <v>0.54999999999999993</v>
      </c>
      <c r="AF46" s="91">
        <f>(AH46-AE46)/(AH$4-AE$4)+AE46</f>
        <v>0.54999999999999993</v>
      </c>
      <c r="AG46" s="91">
        <f t="shared" ref="AG46:AG47" si="1190">(AE46+AH46)/2</f>
        <v>0.54999999999999993</v>
      </c>
      <c r="AH46" s="91">
        <f>I46</f>
        <v>0.54999999999999993</v>
      </c>
      <c r="AJ46" s="91" t="s">
        <v>149</v>
      </c>
      <c r="AK46" s="91">
        <f>AK45</f>
        <v>0.05</v>
      </c>
      <c r="AL46" s="97">
        <v>0.15</v>
      </c>
      <c r="AM46" s="91">
        <v>0.1</v>
      </c>
      <c r="AN46" s="91">
        <v>0.08</v>
      </c>
      <c r="AO46" s="91">
        <f>AN46</f>
        <v>0.08</v>
      </c>
      <c r="AP46" s="95" t="str">
        <f>AQ46&amp;" "&amp;AR46&amp;" "&amp;AS46&amp;" "&amp;AT46&amp;" "&amp;AU46&amp;" "&amp;AV46&amp;" "&amp;AW46&amp;" "&amp;AX46&amp;" "&amp;AY46&amp;" "&amp;AZ46&amp;" "&amp;BA46&amp;" "&amp;BB46&amp;" "&amp;BC46&amp;" "&amp;BD46&amp;" "&amp;BE46&amp;" "&amp;BF46&amp;" "&amp;BG46&amp;" "&amp;BH46&amp;" "&amp;BI46&amp;" "&amp;BJ46&amp;" "&amp;BK46&amp;" "&amp;BL46&amp;" "&amp;BM46&amp;" "&amp;BN46&amp;" "</f>
        <v xml:space="preserve">0.15 0.145 0.14 0.135 0.13 0.125 0.12 0.115 0.11 0.105 0.1 0.098 0.096 0.094 0.092 0.09 0.088 0.086 0.084 0.082 0.08 0.08 0.08 0.08 </v>
      </c>
      <c r="AQ46" s="91">
        <f t="shared" ref="AQ46:AQ47" si="1191">AL46</f>
        <v>0.15</v>
      </c>
      <c r="AR46" s="91">
        <f t="shared" ref="AR46:AR47" si="1192">(BA46-AQ46)/(BA$4-AQ$4)+AQ46</f>
        <v>0.14499999999999999</v>
      </c>
      <c r="AS46" s="91">
        <f t="shared" ref="AS46:AS47" si="1193">(BA46-AQ46)/(BA$4-AQ$4)+AR46</f>
        <v>0.13999999999999999</v>
      </c>
      <c r="AT46" s="91">
        <f t="shared" ref="AT46:AT47" si="1194">(BA46-AQ46)/(BA$4-AQ$4)+AS46</f>
        <v>0.13499999999999998</v>
      </c>
      <c r="AU46" s="91">
        <f t="shared" ref="AU46:AU47" si="1195">(BA46-AQ46)/(BA$4-AQ$4)+AT46</f>
        <v>0.12999999999999998</v>
      </c>
      <c r="AV46" s="91">
        <f t="shared" ref="AV46:AV47" si="1196">(BA46-AQ46)/(BA$4-AQ$4)+AU46</f>
        <v>0.12499999999999997</v>
      </c>
      <c r="AW46" s="91">
        <f t="shared" ref="AW46:AW47" si="1197">(BA46-AQ46)/(BA$4-AQ$4)+AV46</f>
        <v>0.11999999999999997</v>
      </c>
      <c r="AX46" s="91">
        <f t="shared" ref="AX46:AX47" si="1198">(BA46-AQ46)/(BA$4-AQ$4)+AW46</f>
        <v>0.11499999999999996</v>
      </c>
      <c r="AY46" s="91">
        <f t="shared" ref="AY46:AY47" si="1199">(BA46-AQ46)/(BA$4-AQ$4)+AX46</f>
        <v>0.10999999999999996</v>
      </c>
      <c r="AZ46" s="91">
        <f t="shared" ref="AZ46:AZ47" si="1200">(BA46-AQ46)/(BA$4-AQ$4)+AY46</f>
        <v>0.10499999999999995</v>
      </c>
      <c r="BA46" s="91">
        <f t="shared" ref="BA46:BA47" si="1201">AM46</f>
        <v>0.1</v>
      </c>
      <c r="BB46" s="91">
        <f t="shared" ref="BB46:BB47" si="1202">(BK46-BA46)/(BK$4-BA$4)+BA46</f>
        <v>9.8000000000000004E-2</v>
      </c>
      <c r="BC46" s="91">
        <f t="shared" ref="BC46:BC47" si="1203">(BK46-BA46)/(BK$4-BA$4)+BB46</f>
        <v>9.6000000000000002E-2</v>
      </c>
      <c r="BD46" s="91">
        <f t="shared" ref="BD46:BD47" si="1204">(BK46-BA46)/(BK$4-BA$4)+BC46</f>
        <v>9.4E-2</v>
      </c>
      <c r="BE46" s="91">
        <f t="shared" ref="BE46:BE47" si="1205">(BK46-BA46)/(BK$4-BA$4)+BD46</f>
        <v>9.1999999999999998E-2</v>
      </c>
      <c r="BF46" s="91">
        <f t="shared" ref="BF46:BF47" si="1206">(BK46-BA46)/(BK$4-BA$4)+BE46</f>
        <v>0.09</v>
      </c>
      <c r="BG46" s="91">
        <f t="shared" ref="BG46:BG47" si="1207">(BK46-BA46)/(BK$4-BA$4)+BF46</f>
        <v>8.7999999999999995E-2</v>
      </c>
      <c r="BH46" s="91">
        <f t="shared" ref="BH46:BH47" si="1208">(BK46-BA46)/(BK$4-BA$4)+BG46</f>
        <v>8.5999999999999993E-2</v>
      </c>
      <c r="BI46" s="91">
        <f t="shared" ref="BI46:BI47" si="1209">(BK46-BA46)/(BK$4-BA$4)+BH46</f>
        <v>8.3999999999999991E-2</v>
      </c>
      <c r="BJ46" s="91">
        <f t="shared" ref="BJ46:BJ47" si="1210">(BK46-BA46)/(BK$4-BA$4)+BI46</f>
        <v>8.199999999999999E-2</v>
      </c>
      <c r="BK46" s="91">
        <f t="shared" ref="BK46:BK47" si="1211">AN46</f>
        <v>0.08</v>
      </c>
      <c r="BL46" s="91">
        <f>(BN46-BK46)/(BN$4-BK$4)+BK46</f>
        <v>0.08</v>
      </c>
      <c r="BM46" s="91">
        <f t="shared" ref="BM46:BM47" si="1212">(BK46+BN46)/2</f>
        <v>0.08</v>
      </c>
      <c r="BN46" s="91">
        <f>AO46</f>
        <v>0.08</v>
      </c>
      <c r="BP46" s="17">
        <f ca="1">K46*K48</f>
        <v>795.06000000000006</v>
      </c>
      <c r="BQ46" s="17">
        <f t="shared" ref="BQ46" ca="1" si="1213">L46*L48</f>
        <v>828.33199999999999</v>
      </c>
      <c r="BR46" s="17">
        <f t="shared" ref="BR46" ca="1" si="1214">M46*M48</f>
        <v>867.63599999999997</v>
      </c>
      <c r="BS46" s="17">
        <f t="shared" ref="BS46" ca="1" si="1215">N46*N48</f>
        <v>900.43200000000002</v>
      </c>
      <c r="BT46" s="17">
        <f t="shared" ref="BT46" ca="1" si="1216">O46*O48</f>
        <v>929.26800000000003</v>
      </c>
      <c r="BU46" s="17">
        <f t="shared" ref="BU46" ca="1" si="1217">P46*P48</f>
        <v>951.08</v>
      </c>
      <c r="BV46" s="17">
        <f t="shared" ref="BV46" ca="1" si="1218">Q46*Q48</f>
        <v>959.53</v>
      </c>
      <c r="BW46" s="17">
        <f t="shared" ref="BW46" ca="1" si="1219">R46*R48</f>
        <v>974.4</v>
      </c>
      <c r="BX46" s="17">
        <f t="shared" ref="BX46" ca="1" si="1220">S46*S48</f>
        <v>978.21999999999991</v>
      </c>
      <c r="BY46" s="17">
        <f t="shared" ref="BY46" ca="1" si="1221">T46*T48</f>
        <v>984.83999999999992</v>
      </c>
      <c r="BZ46" s="17">
        <f t="shared" ref="BZ46" ca="1" si="1222">U46*U48</f>
        <v>980.39999999999986</v>
      </c>
      <c r="CA46" s="17">
        <f t="shared" ref="CA46" ca="1" si="1223">V46*V48</f>
        <v>990.02399999999989</v>
      </c>
      <c r="CB46" s="17">
        <f t="shared" ref="CB46" ca="1" si="1224">W46*W48</f>
        <v>996.15999999999985</v>
      </c>
      <c r="CC46" s="17">
        <f t="shared" ref="CC46" ca="1" si="1225">X46*X48</f>
        <v>1005.6119999999999</v>
      </c>
      <c r="CD46" s="17">
        <f t="shared" ref="CD46" ca="1" si="1226">Y46*Y48</f>
        <v>1014.4099999999999</v>
      </c>
      <c r="CE46" s="17">
        <f t="shared" ref="CE46" ca="1" si="1227">Z46*Z48</f>
        <v>1023.68</v>
      </c>
      <c r="CF46" s="17">
        <f t="shared" ref="CF46" ca="1" si="1228">AA46*AA48</f>
        <v>1033.0215357340719</v>
      </c>
      <c r="CG46" s="17">
        <f t="shared" ref="CG46" ca="1" si="1229">AB46*AB48</f>
        <v>1042.4349251193589</v>
      </c>
      <c r="CH46" s="17">
        <f t="shared" ref="CH46" ca="1" si="1230">AC46*AC48</f>
        <v>1051.9204825599115</v>
      </c>
      <c r="CI46" s="17">
        <f t="shared" ref="CI46" ca="1" si="1231">AD46*AD48</f>
        <v>1061.4785188055382</v>
      </c>
      <c r="CJ46" s="17">
        <f t="shared" ref="CJ46" ca="1" si="1232">AE46*AE48</f>
        <v>1073.442308636503</v>
      </c>
      <c r="CK46" s="17">
        <f t="shared" ref="CK46" ca="1" si="1233">AF46*AF48</f>
        <v>1102.7814973925003</v>
      </c>
      <c r="CL46" s="17">
        <f t="shared" ref="CL46" ca="1" si="1234">AG46*AG48</f>
        <v>1253.3067293201595</v>
      </c>
      <c r="CM46" s="17">
        <f t="shared" ref="CM46" ca="1" si="1235">AH46*AH48</f>
        <v>1495.6721216652909</v>
      </c>
      <c r="CN46" s="95" t="str">
        <f t="shared" ca="1" si="1147"/>
        <v xml:space="preserve">73.3 76.8 80.9 84.5 87.7 90.2 91.6 93.5 94.4 95.6 95.7 96.8 97.7 98.8 99.9 101 102.2 103.3 104.5 105.7 107.1 110 125 149.2 </v>
      </c>
      <c r="CO46" s="96">
        <f ca="1">ROUND(BP46*(1-AQ46)*(1-$AK46)/8.76*(1+CO$2),1)</f>
        <v>73.3</v>
      </c>
      <c r="CP46" s="96">
        <f t="shared" ca="1" si="1148"/>
        <v>76.8</v>
      </c>
      <c r="CQ46" s="96">
        <f t="shared" ca="1" si="1149"/>
        <v>80.900000000000006</v>
      </c>
      <c r="CR46" s="96">
        <f t="shared" ca="1" si="1150"/>
        <v>84.5</v>
      </c>
      <c r="CS46" s="96">
        <f t="shared" ca="1" si="1151"/>
        <v>87.7</v>
      </c>
      <c r="CT46" s="96">
        <f t="shared" ca="1" si="1152"/>
        <v>90.2</v>
      </c>
      <c r="CU46" s="96">
        <f t="shared" ca="1" si="1153"/>
        <v>91.6</v>
      </c>
      <c r="CV46" s="96">
        <f t="shared" ca="1" si="1154"/>
        <v>93.5</v>
      </c>
      <c r="CW46" s="96">
        <f t="shared" ca="1" si="1155"/>
        <v>94.4</v>
      </c>
      <c r="CX46" s="96">
        <f t="shared" ca="1" si="1156"/>
        <v>95.6</v>
      </c>
      <c r="CY46" s="96">
        <f t="shared" ca="1" si="1157"/>
        <v>95.7</v>
      </c>
      <c r="CZ46" s="96">
        <f t="shared" ca="1" si="1158"/>
        <v>96.8</v>
      </c>
      <c r="DA46" s="96">
        <f t="shared" ca="1" si="1159"/>
        <v>97.7</v>
      </c>
      <c r="DB46" s="96">
        <f t="shared" ca="1" si="1160"/>
        <v>98.8</v>
      </c>
      <c r="DC46" s="96">
        <f t="shared" ca="1" si="1161"/>
        <v>99.9</v>
      </c>
      <c r="DD46" s="96">
        <f t="shared" ca="1" si="1162"/>
        <v>101</v>
      </c>
      <c r="DE46" s="96">
        <f t="shared" ca="1" si="1163"/>
        <v>102.2</v>
      </c>
      <c r="DF46" s="96">
        <f t="shared" ca="1" si="1164"/>
        <v>103.3</v>
      </c>
      <c r="DG46" s="96">
        <f t="shared" ca="1" si="1165"/>
        <v>104.5</v>
      </c>
      <c r="DH46" s="96">
        <f t="shared" ca="1" si="1166"/>
        <v>105.7</v>
      </c>
      <c r="DI46" s="96">
        <f t="shared" ca="1" si="1167"/>
        <v>107.1</v>
      </c>
      <c r="DJ46" s="96">
        <f t="shared" ca="1" si="1168"/>
        <v>110</v>
      </c>
      <c r="DK46" s="96">
        <f t="shared" ca="1" si="1169"/>
        <v>125</v>
      </c>
      <c r="DL46" s="96">
        <f t="shared" ca="1" si="1170"/>
        <v>149.19999999999999</v>
      </c>
      <c r="DM46" s="95" t="str">
        <f t="shared" si="1171"/>
        <v xml:space="preserve">0.85 0.855 0.86 0.865 0.87 0.875 0.88 0.885 0.89 0.895 0.9 0.902 0.904 0.906 0.908 0.91 0.912 0.914 0.916 0.918 0.92 0.92 0.92 0.92 </v>
      </c>
      <c r="DN46" s="91">
        <f t="shared" ref="DN46:DN47" si="1236">1-AQ46</f>
        <v>0.85</v>
      </c>
      <c r="DO46" s="91">
        <f t="shared" si="1172"/>
        <v>0.85499999999999998</v>
      </c>
      <c r="DP46" s="91">
        <f t="shared" si="1172"/>
        <v>0.86</v>
      </c>
      <c r="DQ46" s="91">
        <f t="shared" si="1172"/>
        <v>0.86499999999999999</v>
      </c>
      <c r="DR46" s="91">
        <f t="shared" si="1172"/>
        <v>0.87</v>
      </c>
      <c r="DS46" s="91">
        <f t="shared" si="1172"/>
        <v>0.875</v>
      </c>
      <c r="DT46" s="91">
        <f t="shared" si="1172"/>
        <v>0.88</v>
      </c>
      <c r="DU46" s="91">
        <f t="shared" si="1172"/>
        <v>0.88500000000000001</v>
      </c>
      <c r="DV46" s="91">
        <f t="shared" si="1172"/>
        <v>0.89</v>
      </c>
      <c r="DW46" s="91">
        <f t="shared" si="1172"/>
        <v>0.89500000000000002</v>
      </c>
      <c r="DX46" s="91">
        <f t="shared" si="1172"/>
        <v>0.9</v>
      </c>
      <c r="DY46" s="91">
        <f t="shared" si="1172"/>
        <v>0.90200000000000002</v>
      </c>
      <c r="DZ46" s="91">
        <f t="shared" si="1172"/>
        <v>0.90400000000000003</v>
      </c>
      <c r="EA46" s="91">
        <f t="shared" si="1172"/>
        <v>0.90600000000000003</v>
      </c>
      <c r="EB46" s="91">
        <f t="shared" si="1172"/>
        <v>0.90800000000000003</v>
      </c>
      <c r="EC46" s="91">
        <f t="shared" si="1172"/>
        <v>0.91</v>
      </c>
      <c r="ED46" s="91">
        <f t="shared" si="1172"/>
        <v>0.91200000000000003</v>
      </c>
      <c r="EE46" s="91">
        <f t="shared" si="1173"/>
        <v>0.91400000000000003</v>
      </c>
      <c r="EF46" s="91">
        <f t="shared" si="1173"/>
        <v>0.91600000000000004</v>
      </c>
      <c r="EG46" s="91">
        <f t="shared" si="1173"/>
        <v>0.91800000000000004</v>
      </c>
      <c r="EH46" s="91">
        <f t="shared" si="1173"/>
        <v>0.92</v>
      </c>
      <c r="EI46" s="91">
        <f t="shared" si="1173"/>
        <v>0.92</v>
      </c>
      <c r="EJ46" s="91">
        <f t="shared" si="1173"/>
        <v>0.92</v>
      </c>
      <c r="EK46" s="91">
        <f t="shared" si="1173"/>
        <v>0.92</v>
      </c>
    </row>
    <row r="47" spans="1:141" x14ac:dyDescent="0.25">
      <c r="A47" t="str">
        <f t="shared" si="17"/>
        <v>RuralSWA</v>
      </c>
      <c r="B47" t="str">
        <f t="shared" si="1121"/>
        <v>Rural</v>
      </c>
      <c r="C47" t="str">
        <f>IFERROR(VLOOKUP(D47,PoolPlan_EnergyProj!$C$89:$D$100,2,FALSE),C46)</f>
        <v>SWA</v>
      </c>
      <c r="D47" t="s">
        <v>150</v>
      </c>
      <c r="E47" s="91">
        <v>0.02</v>
      </c>
      <c r="F47" s="91">
        <v>0.03</v>
      </c>
      <c r="G47" s="91">
        <v>0.03</v>
      </c>
      <c r="H47" s="91">
        <v>0.05</v>
      </c>
      <c r="I47" s="91">
        <v>0.05</v>
      </c>
      <c r="K47" s="91">
        <f t="shared" si="1175"/>
        <v>0.02</v>
      </c>
      <c r="L47" s="91">
        <f t="shared" si="1176"/>
        <v>2.1999999999999999E-2</v>
      </c>
      <c r="M47" s="91">
        <f t="shared" si="1176"/>
        <v>2.3999999999999997E-2</v>
      </c>
      <c r="N47" s="91">
        <f t="shared" si="1176"/>
        <v>2.5999999999999995E-2</v>
      </c>
      <c r="O47" s="91">
        <f t="shared" si="1176"/>
        <v>2.7999999999999994E-2</v>
      </c>
      <c r="P47" s="91">
        <f t="shared" si="1177"/>
        <v>0.03</v>
      </c>
      <c r="Q47" s="91">
        <f t="shared" si="1178"/>
        <v>0.03</v>
      </c>
      <c r="R47" s="91">
        <f t="shared" si="1178"/>
        <v>0.03</v>
      </c>
      <c r="S47" s="91">
        <f t="shared" si="1178"/>
        <v>0.03</v>
      </c>
      <c r="T47" s="91">
        <f t="shared" si="1178"/>
        <v>0.03</v>
      </c>
      <c r="U47" s="91">
        <f t="shared" si="1179"/>
        <v>0.03</v>
      </c>
      <c r="V47" s="91">
        <f t="shared" si="1180"/>
        <v>3.2000000000000001E-2</v>
      </c>
      <c r="W47" s="91">
        <f t="shared" si="1181"/>
        <v>3.4000000000000002E-2</v>
      </c>
      <c r="X47" s="91">
        <f t="shared" si="1182"/>
        <v>3.6000000000000004E-2</v>
      </c>
      <c r="Y47" s="91">
        <f t="shared" si="1183"/>
        <v>3.8000000000000006E-2</v>
      </c>
      <c r="Z47" s="91">
        <f t="shared" si="1184"/>
        <v>4.0000000000000008E-2</v>
      </c>
      <c r="AA47" s="91">
        <f t="shared" si="1185"/>
        <v>4.200000000000001E-2</v>
      </c>
      <c r="AB47" s="91">
        <f t="shared" si="1186"/>
        <v>4.4000000000000011E-2</v>
      </c>
      <c r="AC47" s="91">
        <f t="shared" si="1187"/>
        <v>4.6000000000000013E-2</v>
      </c>
      <c r="AD47" s="91">
        <f t="shared" si="1188"/>
        <v>4.8000000000000015E-2</v>
      </c>
      <c r="AE47" s="91">
        <f t="shared" si="1189"/>
        <v>0.05</v>
      </c>
      <c r="AF47" s="91">
        <f>(AH47-AE47)/(AH$4-AE$4)+AE47</f>
        <v>0.05</v>
      </c>
      <c r="AG47" s="91">
        <f t="shared" si="1190"/>
        <v>0.05</v>
      </c>
      <c r="AH47" s="91">
        <f>I47</f>
        <v>0.05</v>
      </c>
      <c r="AJ47" s="98">
        <f>1-((1-AL47)*K47+(1-AL46)*K46+(1-AL45)*K45)*(1-AK45)</f>
        <v>0.15022500000000005</v>
      </c>
      <c r="AK47" s="91">
        <f>AK46</f>
        <v>0.05</v>
      </c>
      <c r="AL47" s="91">
        <v>0.2</v>
      </c>
      <c r="AM47" s="91">
        <v>0.2</v>
      </c>
      <c r="AN47" s="91">
        <v>0.2</v>
      </c>
      <c r="AO47" s="91">
        <f>AN47</f>
        <v>0.2</v>
      </c>
      <c r="AP47" s="95" t="str">
        <f>AQ47&amp;" "&amp;AR47&amp;" "&amp;AS47&amp;" "&amp;AT47&amp;" "&amp;AU47&amp;" "&amp;AV47&amp;" "&amp;AW47&amp;" "&amp;AX47&amp;" "&amp;AY47&amp;" "&amp;AZ47&amp;" "&amp;BA47&amp;" "&amp;BB47&amp;" "&amp;BC47&amp;" "&amp;BD47&amp;" "&amp;BE47&amp;" "&amp;BF47&amp;" "&amp;BG47&amp;" "&amp;BH47&amp;" "&amp;BI47&amp;" "&amp;BJ47&amp;" "&amp;BK47&amp;" "&amp;BL47&amp;" "&amp;BM47&amp;" "&amp;BN47&amp;" "</f>
        <v xml:space="preserve">0.2 0.2 0.2 0.2 0.2 0.2 0.2 0.2 0.2 0.2 0.2 0.2 0.2 0.2 0.2 0.2 0.2 0.2 0.2 0.2 0.2 0.2 0.2 0.2 </v>
      </c>
      <c r="AQ47" s="91">
        <f t="shared" si="1191"/>
        <v>0.2</v>
      </c>
      <c r="AR47" s="91">
        <f t="shared" si="1192"/>
        <v>0.2</v>
      </c>
      <c r="AS47" s="91">
        <f t="shared" si="1193"/>
        <v>0.2</v>
      </c>
      <c r="AT47" s="91">
        <f t="shared" si="1194"/>
        <v>0.2</v>
      </c>
      <c r="AU47" s="91">
        <f t="shared" si="1195"/>
        <v>0.2</v>
      </c>
      <c r="AV47" s="91">
        <f t="shared" si="1196"/>
        <v>0.2</v>
      </c>
      <c r="AW47" s="91">
        <f t="shared" si="1197"/>
        <v>0.2</v>
      </c>
      <c r="AX47" s="91">
        <f t="shared" si="1198"/>
        <v>0.2</v>
      </c>
      <c r="AY47" s="91">
        <f t="shared" si="1199"/>
        <v>0.2</v>
      </c>
      <c r="AZ47" s="91">
        <f t="shared" si="1200"/>
        <v>0.2</v>
      </c>
      <c r="BA47" s="91">
        <f t="shared" si="1201"/>
        <v>0.2</v>
      </c>
      <c r="BB47" s="91">
        <f t="shared" si="1202"/>
        <v>0.2</v>
      </c>
      <c r="BC47" s="91">
        <f t="shared" si="1203"/>
        <v>0.2</v>
      </c>
      <c r="BD47" s="91">
        <f t="shared" si="1204"/>
        <v>0.2</v>
      </c>
      <c r="BE47" s="91">
        <f t="shared" si="1205"/>
        <v>0.2</v>
      </c>
      <c r="BF47" s="91">
        <f t="shared" si="1206"/>
        <v>0.2</v>
      </c>
      <c r="BG47" s="91">
        <f t="shared" si="1207"/>
        <v>0.2</v>
      </c>
      <c r="BH47" s="91">
        <f t="shared" si="1208"/>
        <v>0.2</v>
      </c>
      <c r="BI47" s="91">
        <f t="shared" si="1209"/>
        <v>0.2</v>
      </c>
      <c r="BJ47" s="91">
        <f t="shared" si="1210"/>
        <v>0.2</v>
      </c>
      <c r="BK47" s="91">
        <f t="shared" si="1211"/>
        <v>0.2</v>
      </c>
      <c r="BL47" s="91">
        <f>(BN47-BK47)/(BN$4-BK$4)+BK47</f>
        <v>0.2</v>
      </c>
      <c r="BM47" s="91">
        <f t="shared" si="1212"/>
        <v>0.2</v>
      </c>
      <c r="BN47" s="91">
        <f>AO47</f>
        <v>0.2</v>
      </c>
      <c r="BP47" s="17">
        <f ca="1">K47*K48</f>
        <v>25.240000000000002</v>
      </c>
      <c r="BQ47" s="17">
        <f t="shared" ref="BQ47" ca="1" si="1237">L47*L48</f>
        <v>29.017999999999997</v>
      </c>
      <c r="BR47" s="17">
        <f t="shared" ref="BR47" ca="1" si="1238">M47*M48</f>
        <v>33.263999999999996</v>
      </c>
      <c r="BS47" s="17">
        <f t="shared" ref="BS47" ca="1" si="1239">N47*N48</f>
        <v>37.517999999999994</v>
      </c>
      <c r="BT47" s="17">
        <f t="shared" ref="BT47" ca="1" si="1240">O47*O48</f>
        <v>41.831999999999994</v>
      </c>
      <c r="BU47" s="17">
        <f t="shared" ref="BU47" ca="1" si="1241">P47*P48</f>
        <v>46.019999999999996</v>
      </c>
      <c r="BV47" s="17">
        <f t="shared" ref="BV47" ca="1" si="1242">Q47*Q48</f>
        <v>47.19</v>
      </c>
      <c r="BW47" s="17">
        <f t="shared" ref="BW47" ca="1" si="1243">R47*R48</f>
        <v>48.72</v>
      </c>
      <c r="BX47" s="17">
        <f t="shared" ref="BX47" ca="1" si="1244">S47*S48</f>
        <v>49.739999999999995</v>
      </c>
      <c r="BY47" s="17">
        <f t="shared" ref="BY47" ca="1" si="1245">T47*T48</f>
        <v>50.94</v>
      </c>
      <c r="BZ47" s="17">
        <f t="shared" ref="BZ47" ca="1" si="1246">U47*U48</f>
        <v>51.6</v>
      </c>
      <c r="CA47" s="17">
        <f t="shared" ref="CA47" ca="1" si="1247">V47*V48</f>
        <v>55.776000000000003</v>
      </c>
      <c r="CB47" s="17">
        <f t="shared" ref="CB47" ca="1" si="1248">W47*W48</f>
        <v>59.84</v>
      </c>
      <c r="CC47" s="17">
        <f t="shared" ref="CC47" ca="1" si="1249">X47*X48</f>
        <v>64.188000000000002</v>
      </c>
      <c r="CD47" s="17">
        <f t="shared" ref="CD47" ca="1" si="1250">Y47*Y48</f>
        <v>68.590000000000018</v>
      </c>
      <c r="CE47" s="17">
        <f t="shared" ref="CE47" ca="1" si="1251">Z47*Z48</f>
        <v>73.120000000000019</v>
      </c>
      <c r="CF47" s="17">
        <f t="shared" ref="CF47" ca="1" si="1252">AA47*AA48</f>
        <v>77.754309141274248</v>
      </c>
      <c r="CG47" s="17">
        <f t="shared" ref="CG47" ca="1" si="1253">AB47*AB48</f>
        <v>82.494850189301815</v>
      </c>
      <c r="CH47" s="17">
        <f t="shared" ref="CH47" ca="1" si="1254">AC47*AC48</f>
        <v>87.343577974288721</v>
      </c>
      <c r="CI47" s="17">
        <f t="shared" ref="CI47" ca="1" si="1255">AD47*AD48</f>
        <v>92.302479896133789</v>
      </c>
      <c r="CJ47" s="17">
        <f t="shared" ref="CJ47" ca="1" si="1256">AE47*AE48</f>
        <v>97.585664421500283</v>
      </c>
      <c r="CK47" s="17">
        <f t="shared" ref="CK47" ca="1" si="1257">AF47*AF48</f>
        <v>100.25286339931824</v>
      </c>
      <c r="CL47" s="17">
        <f t="shared" ref="CL47" ca="1" si="1258">AG47*AG48</f>
        <v>113.93697539274179</v>
      </c>
      <c r="CM47" s="17">
        <f t="shared" ref="CM47" ca="1" si="1259">AH47*AH48</f>
        <v>135.97019287866283</v>
      </c>
      <c r="CN47" s="95" t="str">
        <f t="shared" ca="1" si="1147"/>
        <v xml:space="preserve">2.2 2.5 2.9 3.3 3.6 4 4.1 4.2 4.3 4.4 4.5 4.8 5.2 5.6 6 6.3 6.7 7.2 7.6 8 8.5 8.7 9.9 11.8 </v>
      </c>
      <c r="CO47" s="96">
        <f ca="1">ROUND(BP47*(1-AQ47)*(1-$AK47)/8.76*(1+CO$2),1)</f>
        <v>2.2000000000000002</v>
      </c>
      <c r="CP47" s="96">
        <f t="shared" ca="1" si="1148"/>
        <v>2.5</v>
      </c>
      <c r="CQ47" s="96">
        <f t="shared" ca="1" si="1149"/>
        <v>2.9</v>
      </c>
      <c r="CR47" s="96">
        <f t="shared" ca="1" si="1150"/>
        <v>3.3</v>
      </c>
      <c r="CS47" s="96">
        <f t="shared" ca="1" si="1151"/>
        <v>3.6</v>
      </c>
      <c r="CT47" s="96">
        <f t="shared" ca="1" si="1152"/>
        <v>4</v>
      </c>
      <c r="CU47" s="96">
        <f t="shared" ca="1" si="1153"/>
        <v>4.0999999999999996</v>
      </c>
      <c r="CV47" s="96">
        <f t="shared" ca="1" si="1154"/>
        <v>4.2</v>
      </c>
      <c r="CW47" s="96">
        <f t="shared" ca="1" si="1155"/>
        <v>4.3</v>
      </c>
      <c r="CX47" s="96">
        <f t="shared" ca="1" si="1156"/>
        <v>4.4000000000000004</v>
      </c>
      <c r="CY47" s="96">
        <f t="shared" ca="1" si="1157"/>
        <v>4.5</v>
      </c>
      <c r="CZ47" s="96">
        <f t="shared" ca="1" si="1158"/>
        <v>4.8</v>
      </c>
      <c r="DA47" s="96">
        <f t="shared" ca="1" si="1159"/>
        <v>5.2</v>
      </c>
      <c r="DB47" s="96">
        <f t="shared" ca="1" si="1160"/>
        <v>5.6</v>
      </c>
      <c r="DC47" s="96">
        <f t="shared" ca="1" si="1161"/>
        <v>6</v>
      </c>
      <c r="DD47" s="96">
        <f t="shared" ca="1" si="1162"/>
        <v>6.3</v>
      </c>
      <c r="DE47" s="96">
        <f t="shared" ca="1" si="1163"/>
        <v>6.7</v>
      </c>
      <c r="DF47" s="96">
        <f t="shared" ca="1" si="1164"/>
        <v>7.2</v>
      </c>
      <c r="DG47" s="96">
        <f t="shared" ca="1" si="1165"/>
        <v>7.6</v>
      </c>
      <c r="DH47" s="96">
        <f t="shared" ca="1" si="1166"/>
        <v>8</v>
      </c>
      <c r="DI47" s="96">
        <f t="shared" ca="1" si="1167"/>
        <v>8.5</v>
      </c>
      <c r="DJ47" s="96">
        <f t="shared" ca="1" si="1168"/>
        <v>8.6999999999999993</v>
      </c>
      <c r="DK47" s="96">
        <f t="shared" ca="1" si="1169"/>
        <v>9.9</v>
      </c>
      <c r="DL47" s="96">
        <f t="shared" ca="1" si="1170"/>
        <v>11.8</v>
      </c>
      <c r="DM47" s="95" t="str">
        <f t="shared" si="1171"/>
        <v xml:space="preserve">0.8 0.8 0.8 0.8 0.8 0.8 0.8 0.8 0.8 0.8 0.8 0.8 0.8 0.8 0.8 0.8 0.8 0.8 0.8 0.8 0.8 0.8 0.8 0.8 </v>
      </c>
      <c r="DN47" s="91">
        <f t="shared" si="1236"/>
        <v>0.8</v>
      </c>
      <c r="DO47" s="91">
        <f t="shared" si="1172"/>
        <v>0.8</v>
      </c>
      <c r="DP47" s="91">
        <f t="shared" si="1172"/>
        <v>0.8</v>
      </c>
      <c r="DQ47" s="91">
        <f t="shared" si="1172"/>
        <v>0.8</v>
      </c>
      <c r="DR47" s="91">
        <f t="shared" si="1172"/>
        <v>0.8</v>
      </c>
      <c r="DS47" s="91">
        <f t="shared" si="1172"/>
        <v>0.8</v>
      </c>
      <c r="DT47" s="91">
        <f t="shared" si="1172"/>
        <v>0.8</v>
      </c>
      <c r="DU47" s="91">
        <f t="shared" si="1172"/>
        <v>0.8</v>
      </c>
      <c r="DV47" s="91">
        <f t="shared" si="1172"/>
        <v>0.8</v>
      </c>
      <c r="DW47" s="91">
        <f t="shared" si="1172"/>
        <v>0.8</v>
      </c>
      <c r="DX47" s="91">
        <f t="shared" si="1172"/>
        <v>0.8</v>
      </c>
      <c r="DY47" s="91">
        <f t="shared" si="1172"/>
        <v>0.8</v>
      </c>
      <c r="DZ47" s="91">
        <f t="shared" si="1172"/>
        <v>0.8</v>
      </c>
      <c r="EA47" s="91">
        <f t="shared" si="1172"/>
        <v>0.8</v>
      </c>
      <c r="EB47" s="91">
        <f t="shared" si="1172"/>
        <v>0.8</v>
      </c>
      <c r="EC47" s="91">
        <f t="shared" si="1172"/>
        <v>0.8</v>
      </c>
      <c r="ED47" s="91">
        <f t="shared" si="1172"/>
        <v>0.8</v>
      </c>
      <c r="EE47" s="91">
        <f t="shared" si="1173"/>
        <v>0.8</v>
      </c>
      <c r="EF47" s="91">
        <f t="shared" si="1173"/>
        <v>0.8</v>
      </c>
      <c r="EG47" s="91">
        <f t="shared" si="1173"/>
        <v>0.8</v>
      </c>
      <c r="EH47" s="91">
        <f t="shared" si="1173"/>
        <v>0.8</v>
      </c>
      <c r="EI47" s="91">
        <f t="shared" si="1173"/>
        <v>0.8</v>
      </c>
      <c r="EJ47" s="91">
        <f t="shared" si="1173"/>
        <v>0.8</v>
      </c>
      <c r="EK47" s="91">
        <f t="shared" si="1173"/>
        <v>0.8</v>
      </c>
    </row>
    <row r="48" spans="1:141" x14ac:dyDescent="0.25">
      <c r="A48" t="str">
        <f t="shared" si="17"/>
        <v>SWA</v>
      </c>
      <c r="C48" t="str">
        <f>IFERROR(VLOOKUP(D48,PoolPlan_EnergyProj!$C$89:$D$100,2,FALSE),C47)</f>
        <v>SWA</v>
      </c>
      <c r="D48" t="s">
        <v>151</v>
      </c>
      <c r="K48" s="17">
        <f ca="1">OFFSET(PoolPlan_EnergyProj!$B$6,MATCH(K44,PoolPlan_EnergyProj!$B$7:$B$30),MATCH($C48,PoolPlan_EnergyProj!$C$1:$N$1,0))</f>
        <v>1262</v>
      </c>
      <c r="L48" s="17">
        <f ca="1">OFFSET(PoolPlan_EnergyProj!$B$6,MATCH(L44,PoolPlan_EnergyProj!$B$7:$B$30),MATCH($C48,PoolPlan_EnergyProj!$C$1:$N$1,0))</f>
        <v>1319</v>
      </c>
      <c r="M48" s="17">
        <f ca="1">OFFSET(PoolPlan_EnergyProj!$B$6,MATCH(M44,PoolPlan_EnergyProj!$B$7:$B$30),MATCH($C48,PoolPlan_EnergyProj!$C$1:$N$1,0))</f>
        <v>1386</v>
      </c>
      <c r="N48" s="17">
        <f ca="1">OFFSET(PoolPlan_EnergyProj!$B$6,MATCH(N44,PoolPlan_EnergyProj!$B$7:$B$30),MATCH($C48,PoolPlan_EnergyProj!$C$1:$N$1,0))</f>
        <v>1443</v>
      </c>
      <c r="O48" s="17">
        <f ca="1">OFFSET(PoolPlan_EnergyProj!$B$6,MATCH(O44,PoolPlan_EnergyProj!$B$7:$B$30),MATCH($C48,PoolPlan_EnergyProj!$C$1:$N$1,0))</f>
        <v>1494</v>
      </c>
      <c r="P48" s="17">
        <f ca="1">OFFSET(PoolPlan_EnergyProj!$B$6,MATCH(P44,PoolPlan_EnergyProj!$B$7:$B$30),MATCH($C48,PoolPlan_EnergyProj!$C$1:$N$1,0))</f>
        <v>1534</v>
      </c>
      <c r="Q48" s="17">
        <f ca="1">OFFSET(PoolPlan_EnergyProj!$B$6,MATCH(Q44,PoolPlan_EnergyProj!$B$7:$B$30),MATCH($C48,PoolPlan_EnergyProj!$C$1:$N$1,0))</f>
        <v>1573</v>
      </c>
      <c r="R48" s="17">
        <f ca="1">OFFSET(PoolPlan_EnergyProj!$B$6,MATCH(R44,PoolPlan_EnergyProj!$B$7:$B$30),MATCH($C48,PoolPlan_EnergyProj!$C$1:$N$1,0))</f>
        <v>1624</v>
      </c>
      <c r="S48" s="17">
        <f ca="1">OFFSET(PoolPlan_EnergyProj!$B$6,MATCH(S44,PoolPlan_EnergyProj!$B$7:$B$30),MATCH($C48,PoolPlan_EnergyProj!$C$1:$N$1,0))</f>
        <v>1658</v>
      </c>
      <c r="T48" s="17">
        <f ca="1">OFFSET(PoolPlan_EnergyProj!$B$6,MATCH(T44,PoolPlan_EnergyProj!$B$7:$B$30),MATCH($C48,PoolPlan_EnergyProj!$C$1:$N$1,0))</f>
        <v>1698</v>
      </c>
      <c r="U48" s="17">
        <f ca="1">OFFSET(PoolPlan_EnergyProj!$B$6,MATCH(U44,PoolPlan_EnergyProj!$B$7:$B$30),MATCH($C48,PoolPlan_EnergyProj!$C$1:$N$1,0))</f>
        <v>1720</v>
      </c>
      <c r="V48" s="17">
        <f ca="1">OFFSET(PoolPlan_EnergyProj!$B$6,MATCH(V44,PoolPlan_EnergyProj!$B$7:$B$30),MATCH($C48,PoolPlan_EnergyProj!$C$1:$N$1,0))</f>
        <v>1743</v>
      </c>
      <c r="W48" s="17">
        <f ca="1">OFFSET(PoolPlan_EnergyProj!$B$6,MATCH(W44,PoolPlan_EnergyProj!$B$7:$B$30),MATCH($C48,PoolPlan_EnergyProj!$C$1:$N$1,0))</f>
        <v>1760</v>
      </c>
      <c r="X48" s="17">
        <f ca="1">OFFSET(PoolPlan_EnergyProj!$B$6,MATCH(X44,PoolPlan_EnergyProj!$B$7:$B$30),MATCH($C48,PoolPlan_EnergyProj!$C$1:$N$1,0))</f>
        <v>1783</v>
      </c>
      <c r="Y48" s="17">
        <f ca="1">OFFSET(PoolPlan_EnergyProj!$B$6,MATCH(Y44,PoolPlan_EnergyProj!$B$7:$B$30),MATCH($C48,PoolPlan_EnergyProj!$C$1:$N$1,0))</f>
        <v>1805</v>
      </c>
      <c r="Z48" s="17">
        <f ca="1">OFFSET(PoolPlan_EnergyProj!$B$6,MATCH(Z44,PoolPlan_EnergyProj!$B$7:$B$30),MATCH($C48,PoolPlan_EnergyProj!$C$1:$N$1,0))</f>
        <v>1828</v>
      </c>
      <c r="AA48" s="17">
        <f ca="1">OFFSET(PoolPlan_EnergyProj!$B$6,MATCH(AA44,PoolPlan_EnergyProj!$B$7:$B$30),MATCH($C48,PoolPlan_EnergyProj!$C$1:$N$1,0))</f>
        <v>1851.2930747922437</v>
      </c>
      <c r="AB48" s="17">
        <f ca="1">OFFSET(PoolPlan_EnergyProj!$B$6,MATCH(AB44,PoolPlan_EnergyProj!$B$7:$B$30),MATCH($C48,PoolPlan_EnergyProj!$C$1:$N$1,0))</f>
        <v>1874.8829588477679</v>
      </c>
      <c r="AC48" s="17">
        <f ca="1">OFFSET(PoolPlan_EnergyProj!$B$6,MATCH(AC44,PoolPlan_EnergyProj!$B$7:$B$30),MATCH($C48,PoolPlan_EnergyProj!$C$1:$N$1,0))</f>
        <v>1898.7734342236672</v>
      </c>
      <c r="AD48" s="17">
        <f ca="1">OFFSET(PoolPlan_EnergyProj!$B$6,MATCH(AD44,PoolPlan_EnergyProj!$B$7:$B$30),MATCH($C48,PoolPlan_EnergyProj!$C$1:$N$1,0))</f>
        <v>1922.9683311694534</v>
      </c>
      <c r="AE48" s="17">
        <f ca="1">OFFSET(PoolPlan_EnergyProj!$B$6,MATCH(AE44,PoolPlan_EnergyProj!$B$7:$B$30),MATCH($C48,PoolPlan_EnergyProj!$C$1:$N$1,0))</f>
        <v>1951.7132884300056</v>
      </c>
      <c r="AF48" s="17">
        <f ca="1">OFFSET(PoolPlan_EnergyProj!$B$6,MATCH(AF44,PoolPlan_EnergyProj!$B$7:$B$30),MATCH($C48,PoolPlan_EnergyProj!$C$1:$N$1,0))</f>
        <v>2005.0572679863646</v>
      </c>
      <c r="AG48" s="17">
        <f ca="1">OFFSET(PoolPlan_EnergyProj!$B$6,MATCH(AG44,PoolPlan_EnergyProj!$B$7:$B$30),MATCH($C48,PoolPlan_EnergyProj!$C$1:$N$1,0))</f>
        <v>2278.7395078548357</v>
      </c>
      <c r="AH48" s="17">
        <f ca="1">OFFSET(PoolPlan_EnergyProj!$B$6,MATCH(AH44,PoolPlan_EnergyProj!$B$7:$B$30),MATCH($C48,PoolPlan_EnergyProj!$C$1:$N$1,0))</f>
        <v>2719.4038575732566</v>
      </c>
      <c r="BP48" s="17">
        <f ca="1">SUM(BP45:BP47)</f>
        <v>1262</v>
      </c>
      <c r="BQ48" s="17">
        <f t="shared" ref="BQ48:CM48" ca="1" si="1260">SUM(BQ45:BQ47)</f>
        <v>1319</v>
      </c>
      <c r="BR48" s="17">
        <f t="shared" ca="1" si="1260"/>
        <v>1385.9999999999998</v>
      </c>
      <c r="BS48" s="17">
        <f t="shared" ca="1" si="1260"/>
        <v>1443</v>
      </c>
      <c r="BT48" s="17">
        <f t="shared" ca="1" si="1260"/>
        <v>1494</v>
      </c>
      <c r="BU48" s="17">
        <f t="shared" ca="1" si="1260"/>
        <v>1534</v>
      </c>
      <c r="BV48" s="17">
        <f t="shared" ca="1" si="1260"/>
        <v>1573</v>
      </c>
      <c r="BW48" s="17">
        <f t="shared" ca="1" si="1260"/>
        <v>1624</v>
      </c>
      <c r="BX48" s="17">
        <f t="shared" ca="1" si="1260"/>
        <v>1657.9999999999998</v>
      </c>
      <c r="BY48" s="17">
        <f t="shared" ca="1" si="1260"/>
        <v>1698</v>
      </c>
      <c r="BZ48" s="17">
        <f t="shared" ca="1" si="1260"/>
        <v>1719.9999999999998</v>
      </c>
      <c r="CA48" s="17">
        <f t="shared" ca="1" si="1260"/>
        <v>1743</v>
      </c>
      <c r="CB48" s="17">
        <f t="shared" ca="1" si="1260"/>
        <v>1759.9999999999998</v>
      </c>
      <c r="CC48" s="17">
        <f t="shared" ca="1" si="1260"/>
        <v>1783</v>
      </c>
      <c r="CD48" s="17">
        <f t="shared" ca="1" si="1260"/>
        <v>1804.9999999999998</v>
      </c>
      <c r="CE48" s="17">
        <f t="shared" ca="1" si="1260"/>
        <v>1828.0000000000002</v>
      </c>
      <c r="CF48" s="17">
        <f t="shared" ca="1" si="1260"/>
        <v>1851.2930747922437</v>
      </c>
      <c r="CG48" s="17">
        <f t="shared" ca="1" si="1260"/>
        <v>1874.8829588477679</v>
      </c>
      <c r="CH48" s="17">
        <f t="shared" ca="1" si="1260"/>
        <v>1898.7734342236672</v>
      </c>
      <c r="CI48" s="17">
        <f t="shared" ca="1" si="1260"/>
        <v>1922.9683311694534</v>
      </c>
      <c r="CJ48" s="17">
        <f t="shared" ca="1" si="1260"/>
        <v>1951.7132884300056</v>
      </c>
      <c r="CK48" s="17">
        <f t="shared" ca="1" si="1260"/>
        <v>2005.0572679863644</v>
      </c>
      <c r="CL48" s="17">
        <f t="shared" ca="1" si="1260"/>
        <v>2278.7395078548357</v>
      </c>
      <c r="CM48" s="17">
        <f t="shared" ca="1" si="1260"/>
        <v>2719.4038575732566</v>
      </c>
    </row>
    <row r="49" spans="1:141" x14ac:dyDescent="0.25">
      <c r="A49" t="str">
        <f t="shared" si="17"/>
        <v>TAN</v>
      </c>
      <c r="C49" t="str">
        <f>IFERROR(VLOOKUP(D49,PoolPlan_EnergyProj!$C$89:$D$100,2,FALSE),C48)</f>
        <v>TAN</v>
      </c>
      <c r="D49" s="93" t="s">
        <v>22</v>
      </c>
      <c r="E49">
        <v>2010</v>
      </c>
      <c r="F49">
        <v>2015</v>
      </c>
      <c r="G49">
        <v>2020</v>
      </c>
      <c r="H49">
        <v>2030</v>
      </c>
      <c r="I49">
        <f>I44</f>
        <v>2050</v>
      </c>
      <c r="K49">
        <v>2010</v>
      </c>
      <c r="L49">
        <f>K49+1</f>
        <v>2011</v>
      </c>
      <c r="M49">
        <f t="shared" ref="M49:AF49" si="1261">L49+1</f>
        <v>2012</v>
      </c>
      <c r="N49">
        <f t="shared" si="1261"/>
        <v>2013</v>
      </c>
      <c r="O49">
        <f t="shared" si="1261"/>
        <v>2014</v>
      </c>
      <c r="P49">
        <f t="shared" si="1261"/>
        <v>2015</v>
      </c>
      <c r="Q49">
        <f t="shared" si="1261"/>
        <v>2016</v>
      </c>
      <c r="R49">
        <f t="shared" si="1261"/>
        <v>2017</v>
      </c>
      <c r="S49">
        <f t="shared" si="1261"/>
        <v>2018</v>
      </c>
      <c r="T49">
        <f t="shared" si="1261"/>
        <v>2019</v>
      </c>
      <c r="U49">
        <f t="shared" si="1261"/>
        <v>2020</v>
      </c>
      <c r="V49">
        <f t="shared" si="1261"/>
        <v>2021</v>
      </c>
      <c r="W49">
        <f t="shared" si="1261"/>
        <v>2022</v>
      </c>
      <c r="X49">
        <f t="shared" si="1261"/>
        <v>2023</v>
      </c>
      <c r="Y49">
        <f t="shared" si="1261"/>
        <v>2024</v>
      </c>
      <c r="Z49">
        <f t="shared" si="1261"/>
        <v>2025</v>
      </c>
      <c r="AA49">
        <f t="shared" si="1261"/>
        <v>2026</v>
      </c>
      <c r="AB49">
        <f t="shared" si="1261"/>
        <v>2027</v>
      </c>
      <c r="AC49">
        <f t="shared" si="1261"/>
        <v>2028</v>
      </c>
      <c r="AD49">
        <f t="shared" si="1261"/>
        <v>2029</v>
      </c>
      <c r="AE49">
        <f t="shared" si="1261"/>
        <v>2030</v>
      </c>
      <c r="AF49">
        <f t="shared" si="1261"/>
        <v>2031</v>
      </c>
      <c r="AG49">
        <v>2040</v>
      </c>
      <c r="AH49">
        <v>2050</v>
      </c>
      <c r="AL49">
        <f>E49</f>
        <v>2010</v>
      </c>
      <c r="AM49">
        <f>G49</f>
        <v>2020</v>
      </c>
      <c r="AN49">
        <f>H49</f>
        <v>2030</v>
      </c>
      <c r="AO49">
        <f>I49</f>
        <v>2050</v>
      </c>
      <c r="AQ49">
        <v>2010</v>
      </c>
      <c r="AR49">
        <f>AQ49+1</f>
        <v>2011</v>
      </c>
      <c r="AS49">
        <f t="shared" ref="AS49:BL49" si="1262">AR49+1</f>
        <v>2012</v>
      </c>
      <c r="AT49">
        <f t="shared" si="1262"/>
        <v>2013</v>
      </c>
      <c r="AU49">
        <f t="shared" si="1262"/>
        <v>2014</v>
      </c>
      <c r="AV49">
        <f t="shared" si="1262"/>
        <v>2015</v>
      </c>
      <c r="AW49">
        <f t="shared" si="1262"/>
        <v>2016</v>
      </c>
      <c r="AX49">
        <f t="shared" si="1262"/>
        <v>2017</v>
      </c>
      <c r="AY49">
        <f t="shared" si="1262"/>
        <v>2018</v>
      </c>
      <c r="AZ49">
        <f t="shared" si="1262"/>
        <v>2019</v>
      </c>
      <c r="BA49">
        <f t="shared" si="1262"/>
        <v>2020</v>
      </c>
      <c r="BB49">
        <f t="shared" si="1262"/>
        <v>2021</v>
      </c>
      <c r="BC49">
        <f t="shared" si="1262"/>
        <v>2022</v>
      </c>
      <c r="BD49">
        <f t="shared" si="1262"/>
        <v>2023</v>
      </c>
      <c r="BE49">
        <f t="shared" si="1262"/>
        <v>2024</v>
      </c>
      <c r="BF49">
        <f t="shared" si="1262"/>
        <v>2025</v>
      </c>
      <c r="BG49">
        <f t="shared" si="1262"/>
        <v>2026</v>
      </c>
      <c r="BH49">
        <f t="shared" si="1262"/>
        <v>2027</v>
      </c>
      <c r="BI49">
        <f t="shared" si="1262"/>
        <v>2028</v>
      </c>
      <c r="BJ49">
        <f t="shared" si="1262"/>
        <v>2029</v>
      </c>
      <c r="BK49">
        <f t="shared" si="1262"/>
        <v>2030</v>
      </c>
      <c r="BL49">
        <f t="shared" si="1262"/>
        <v>2031</v>
      </c>
      <c r="BM49">
        <v>2040</v>
      </c>
      <c r="BN49">
        <v>2050</v>
      </c>
      <c r="BP49">
        <f>AQ49</f>
        <v>2010</v>
      </c>
      <c r="BQ49">
        <f t="shared" ref="BQ49:CM49" si="1263">AR49</f>
        <v>2011</v>
      </c>
      <c r="BR49">
        <f t="shared" si="1263"/>
        <v>2012</v>
      </c>
      <c r="BS49">
        <f t="shared" si="1263"/>
        <v>2013</v>
      </c>
      <c r="BT49">
        <f t="shared" si="1263"/>
        <v>2014</v>
      </c>
      <c r="BU49">
        <f t="shared" si="1263"/>
        <v>2015</v>
      </c>
      <c r="BV49">
        <f t="shared" si="1263"/>
        <v>2016</v>
      </c>
      <c r="BW49">
        <f t="shared" si="1263"/>
        <v>2017</v>
      </c>
      <c r="BX49">
        <f t="shared" si="1263"/>
        <v>2018</v>
      </c>
      <c r="BY49">
        <f t="shared" si="1263"/>
        <v>2019</v>
      </c>
      <c r="BZ49">
        <f t="shared" si="1263"/>
        <v>2020</v>
      </c>
      <c r="CA49">
        <f t="shared" si="1263"/>
        <v>2021</v>
      </c>
      <c r="CB49">
        <f t="shared" si="1263"/>
        <v>2022</v>
      </c>
      <c r="CC49">
        <f t="shared" si="1263"/>
        <v>2023</v>
      </c>
      <c r="CD49">
        <f t="shared" si="1263"/>
        <v>2024</v>
      </c>
      <c r="CE49">
        <f t="shared" si="1263"/>
        <v>2025</v>
      </c>
      <c r="CF49">
        <f t="shared" si="1263"/>
        <v>2026</v>
      </c>
      <c r="CG49">
        <f t="shared" si="1263"/>
        <v>2027</v>
      </c>
      <c r="CH49">
        <f t="shared" si="1263"/>
        <v>2028</v>
      </c>
      <c r="CI49">
        <f t="shared" si="1263"/>
        <v>2029</v>
      </c>
      <c r="CJ49">
        <f t="shared" si="1263"/>
        <v>2030</v>
      </c>
      <c r="CK49">
        <f t="shared" si="1263"/>
        <v>2031</v>
      </c>
      <c r="CL49">
        <f t="shared" si="1263"/>
        <v>2040</v>
      </c>
      <c r="CM49">
        <f t="shared" si="1263"/>
        <v>2050</v>
      </c>
      <c r="CO49">
        <f>BP49</f>
        <v>2010</v>
      </c>
      <c r="CP49">
        <f t="shared" ref="CP49:DD49" si="1264">BQ49</f>
        <v>2011</v>
      </c>
      <c r="CQ49">
        <f t="shared" si="1264"/>
        <v>2012</v>
      </c>
      <c r="CR49">
        <f t="shared" si="1264"/>
        <v>2013</v>
      </c>
      <c r="CS49">
        <f t="shared" si="1264"/>
        <v>2014</v>
      </c>
      <c r="CT49">
        <f t="shared" si="1264"/>
        <v>2015</v>
      </c>
      <c r="CU49">
        <f t="shared" si="1264"/>
        <v>2016</v>
      </c>
      <c r="CV49">
        <f t="shared" si="1264"/>
        <v>2017</v>
      </c>
      <c r="CW49">
        <f t="shared" si="1264"/>
        <v>2018</v>
      </c>
      <c r="CX49">
        <f t="shared" si="1264"/>
        <v>2019</v>
      </c>
      <c r="CY49">
        <f t="shared" si="1264"/>
        <v>2020</v>
      </c>
      <c r="CZ49">
        <f t="shared" si="1264"/>
        <v>2021</v>
      </c>
      <c r="DA49">
        <f t="shared" si="1264"/>
        <v>2022</v>
      </c>
      <c r="DB49">
        <f t="shared" si="1264"/>
        <v>2023</v>
      </c>
      <c r="DC49">
        <f t="shared" si="1264"/>
        <v>2024</v>
      </c>
      <c r="DD49">
        <f t="shared" si="1264"/>
        <v>2025</v>
      </c>
      <c r="DE49">
        <f>CF49</f>
        <v>2026</v>
      </c>
      <c r="DF49">
        <f t="shared" ref="DF49:DG49" si="1265">CG49</f>
        <v>2027</v>
      </c>
      <c r="DG49">
        <f t="shared" si="1265"/>
        <v>2028</v>
      </c>
      <c r="DH49">
        <f>CI49</f>
        <v>2029</v>
      </c>
      <c r="DI49">
        <f t="shared" ref="DI49" si="1266">CJ49</f>
        <v>2030</v>
      </c>
      <c r="DJ49">
        <f>CK49</f>
        <v>2031</v>
      </c>
      <c r="DK49">
        <f>CL49</f>
        <v>2040</v>
      </c>
      <c r="DL49">
        <f t="shared" ref="DL49" si="1267">CM49</f>
        <v>2050</v>
      </c>
    </row>
    <row r="50" spans="1:141" x14ac:dyDescent="0.25">
      <c r="A50" t="str">
        <f t="shared" si="17"/>
        <v>IndustryTAN</v>
      </c>
      <c r="B50" t="str">
        <f t="shared" ref="B50:B52" si="1268">B45</f>
        <v>Industry</v>
      </c>
      <c r="C50" t="str">
        <f>IFERROR(VLOOKUP(D50,PoolPlan_EnergyProj!$C$89:$D$100,2,FALSE),C49)</f>
        <v>TAN</v>
      </c>
      <c r="D50" t="s">
        <v>146</v>
      </c>
      <c r="E50" s="91">
        <v>0.2</v>
      </c>
      <c r="F50" s="91">
        <v>0.25</v>
      </c>
      <c r="G50" s="91">
        <v>0.3</v>
      </c>
      <c r="H50" s="91">
        <v>0.35</v>
      </c>
      <c r="I50" s="91">
        <v>0.4</v>
      </c>
      <c r="K50" s="91">
        <f>E50</f>
        <v>0.2</v>
      </c>
      <c r="L50" s="91">
        <f>($P50-$K50)/($P$4-$K$4)+K50</f>
        <v>0.21000000000000002</v>
      </c>
      <c r="M50" s="91">
        <f t="shared" ref="M50:O50" si="1269">($P50-$K50)/($P$4-$K$4)+L50</f>
        <v>0.22000000000000003</v>
      </c>
      <c r="N50" s="91">
        <f t="shared" si="1269"/>
        <v>0.23000000000000004</v>
      </c>
      <c r="O50" s="91">
        <f t="shared" si="1269"/>
        <v>0.24000000000000005</v>
      </c>
      <c r="P50" s="91">
        <f>F50</f>
        <v>0.25</v>
      </c>
      <c r="Q50" s="91">
        <f>($U50-$P50)/($U$4-$P$4)+P50</f>
        <v>0.26</v>
      </c>
      <c r="R50" s="91">
        <f t="shared" ref="R50:T50" si="1270">($U50-$P50)/($U$4-$P$4)+Q50</f>
        <v>0.27</v>
      </c>
      <c r="S50" s="91">
        <f t="shared" si="1270"/>
        <v>0.28000000000000003</v>
      </c>
      <c r="T50" s="91">
        <f t="shared" si="1270"/>
        <v>0.29000000000000004</v>
      </c>
      <c r="U50" s="91">
        <f>G50</f>
        <v>0.3</v>
      </c>
      <c r="V50" s="91">
        <f>(AE50-U50)/(AE$4-U$4)+U50</f>
        <v>0.30499999999999999</v>
      </c>
      <c r="W50" s="91">
        <f>(AE50-U50)/(AE$4-U$4)+V50</f>
        <v>0.31</v>
      </c>
      <c r="X50" s="91">
        <f>(AE50-U50)/(AE$4-U$4)+W50</f>
        <v>0.315</v>
      </c>
      <c r="Y50" s="91">
        <f>(AE50-U50)/(AE$4-U$4)+X50</f>
        <v>0.32</v>
      </c>
      <c r="Z50" s="91">
        <f>(AE50-U50)/(AE$4-U$4)+Y50</f>
        <v>0.32500000000000001</v>
      </c>
      <c r="AA50" s="91">
        <f>(AE50-U50)/(AE$4-U$4)+Z50</f>
        <v>0.33</v>
      </c>
      <c r="AB50" s="91">
        <f>(AE50-U50)/(AE$4-U$4)+AA50</f>
        <v>0.33500000000000002</v>
      </c>
      <c r="AC50" s="91">
        <f>(AE50-U50)/(AE$4-U$4)+AB50</f>
        <v>0.34</v>
      </c>
      <c r="AD50" s="91">
        <f>(AE50-U50)/(AE$4-U$4)+AC50</f>
        <v>0.34500000000000003</v>
      </c>
      <c r="AE50" s="91">
        <f>H50</f>
        <v>0.35</v>
      </c>
      <c r="AF50" s="91">
        <f>(AH50-AE50)/(AH$4-AE$4)+AE50</f>
        <v>0.35249999999999998</v>
      </c>
      <c r="AG50" s="91">
        <f>(AE50+AH50)/2</f>
        <v>0.375</v>
      </c>
      <c r="AH50" s="91">
        <f>I50</f>
        <v>0.4</v>
      </c>
      <c r="AJ50" s="94">
        <f>SUMIF(AR2008_Stats!$A$18:$A$29,C50,AR2008_Stats!$T$18:$T$29)</f>
        <v>0.18825000000000003</v>
      </c>
      <c r="AK50" s="91">
        <f>SUMIF(AR2008_Stats!$A$18:$A$29,C50,AR2008_Stats!$R$18:$R$29)</f>
        <v>4.4999999999999998E-2</v>
      </c>
      <c r="AL50" s="83">
        <v>0.02</v>
      </c>
      <c r="AM50" s="91">
        <v>0.02</v>
      </c>
      <c r="AN50" s="91">
        <v>0.01</v>
      </c>
      <c r="AO50" s="91">
        <v>0.01</v>
      </c>
      <c r="AP50" s="95" t="str">
        <f>AQ50&amp;" "&amp;AR50&amp;" "&amp;AS50&amp;" "&amp;AT50&amp;" "&amp;AU50&amp;" "&amp;AV50&amp;" "&amp;AW50&amp;" "&amp;AX50&amp;" "&amp;AY50&amp;" "&amp;AZ50&amp;" "&amp;BA50&amp;" "&amp;BB50&amp;" "&amp;BC50&amp;" "&amp;BD50&amp;" "&amp;BE50&amp;" "&amp;BF50&amp;" "&amp;BG50&amp;" "&amp;BH50&amp;" "&amp;BI50&amp;" "&amp;BJ50&amp;" "&amp;BK50&amp;" "&amp;BL50&amp;" "&amp;BM50&amp;" "&amp;BN50&amp;" "</f>
        <v xml:space="preserve">0.02 0.02 0.02 0.02 0.02 0.02 0.02 0.02 0.02 0.02 0.02 0.019 0.018 0.017 0.016 0.015 0.014 0.013 0.012 0.011 0.01 0.01 0.01 0.01 </v>
      </c>
      <c r="AQ50" s="91">
        <f>AL50</f>
        <v>0.02</v>
      </c>
      <c r="AR50" s="91">
        <f>(BA50-AQ50)/(BA$4-AQ$4)+AQ50</f>
        <v>0.02</v>
      </c>
      <c r="AS50" s="91">
        <f>(BA50-AQ50)/(BA$4-AQ$4)+AR50</f>
        <v>0.02</v>
      </c>
      <c r="AT50" s="91">
        <f>(BA50-AQ50)/(BA$4-AQ$4)+AS50</f>
        <v>0.02</v>
      </c>
      <c r="AU50" s="91">
        <f>(BA50-AQ50)/(BA$4-AQ$4)+AT50</f>
        <v>0.02</v>
      </c>
      <c r="AV50" s="91">
        <f>(BA50-AQ50)/(BA$4-AQ$4)+AU50</f>
        <v>0.02</v>
      </c>
      <c r="AW50" s="91">
        <f>(BA50-AQ50)/(BA$4-AQ$4)+AV50</f>
        <v>0.02</v>
      </c>
      <c r="AX50" s="91">
        <f>(BA50-AQ50)/(BA$4-AQ$4)+AW50</f>
        <v>0.02</v>
      </c>
      <c r="AY50" s="91">
        <f>(BA50-AQ50)/(BA$4-AQ$4)+AX50</f>
        <v>0.02</v>
      </c>
      <c r="AZ50" s="91">
        <f>(BA50-AQ50)/(BA$4-AQ$4)+AY50</f>
        <v>0.02</v>
      </c>
      <c r="BA50" s="91">
        <f>AM50</f>
        <v>0.02</v>
      </c>
      <c r="BB50" s="91">
        <f>(BK50-BA50)/(BK$4-BA$4)+BA50</f>
        <v>1.9E-2</v>
      </c>
      <c r="BC50" s="91">
        <f>(BK50-BA50)/(BK$4-BA$4)+BB50</f>
        <v>1.7999999999999999E-2</v>
      </c>
      <c r="BD50" s="91">
        <f>(BK50-BA50)/(BK$4-BA$4)+BC50</f>
        <v>1.6999999999999998E-2</v>
      </c>
      <c r="BE50" s="91">
        <f>(BK50-BA50)/(BK$4-BA$4)+BD50</f>
        <v>1.5999999999999997E-2</v>
      </c>
      <c r="BF50" s="91">
        <f>(BK50-BA50)/(BK$4-BA$4)+BE50</f>
        <v>1.4999999999999996E-2</v>
      </c>
      <c r="BG50" s="91">
        <f>(BK50-BA50)/(BK$4-BA$4)+BF50</f>
        <v>1.3999999999999995E-2</v>
      </c>
      <c r="BH50" s="91">
        <f>(BK50-BA50)/(BK$4-BA$4)+BG50</f>
        <v>1.2999999999999994E-2</v>
      </c>
      <c r="BI50" s="91">
        <f>(BK50-BA50)/(BK$4-BA$4)+BH50</f>
        <v>1.1999999999999993E-2</v>
      </c>
      <c r="BJ50" s="91">
        <f>(BK50-BA50)/(BK$4-BA$4)+BI50</f>
        <v>1.0999999999999992E-2</v>
      </c>
      <c r="BK50" s="91">
        <f>AN50</f>
        <v>0.01</v>
      </c>
      <c r="BL50" s="91">
        <f>(BN50-BK50)/(BN$4-BK$4)+BK50</f>
        <v>0.01</v>
      </c>
      <c r="BM50" s="91">
        <f>(BK50+BN50)/2</f>
        <v>0.01</v>
      </c>
      <c r="BN50" s="91">
        <f>AO50</f>
        <v>0.01</v>
      </c>
      <c r="BP50" s="17">
        <f ca="1">K50*K53</f>
        <v>964</v>
      </c>
      <c r="BQ50" s="17">
        <f t="shared" ref="BQ50" ca="1" si="1271">L50*L53</f>
        <v>1054.4100000000001</v>
      </c>
      <c r="BR50" s="17">
        <f t="shared" ref="BR50" ca="1" si="1272">M50*M53</f>
        <v>1204.0358000000003</v>
      </c>
      <c r="BS50" s="17">
        <f t="shared" ref="BS50" ca="1" si="1273">N50*N53</f>
        <v>1397.2288170000004</v>
      </c>
      <c r="BT50" s="17">
        <f t="shared" ref="BT50" ca="1" si="1274">O50*O53</f>
        <v>1603.7756856000008</v>
      </c>
      <c r="BU50" s="17">
        <f t="shared" ref="BU50" ca="1" si="1275">P50*P53</f>
        <v>1837.6596397500007</v>
      </c>
      <c r="BV50" s="17">
        <f t="shared" ref="BV50" ca="1" si="1276">Q50*Q53</f>
        <v>2064.0593073672007</v>
      </c>
      <c r="BW50" s="17">
        <f t="shared" ref="BW50" ca="1" si="1277">R50*R53</f>
        <v>2379.2252862228852</v>
      </c>
      <c r="BX50" s="17">
        <f t="shared" ref="BX50" ca="1" si="1278">S50*S53</f>
        <v>2664.7323205696316</v>
      </c>
      <c r="BY50" s="17">
        <f t="shared" ref="BY50" ca="1" si="1279">T50*T53</f>
        <v>2953.0944252598456</v>
      </c>
      <c r="BZ50" s="17">
        <f t="shared" ref="BZ50" ca="1" si="1280">U50*U53</f>
        <v>3268.7700362358978</v>
      </c>
      <c r="CA50" s="17">
        <f t="shared" ref="CA50" ca="1" si="1281">V50*V53</f>
        <v>3555.8770044186172</v>
      </c>
      <c r="CB50" s="17">
        <f t="shared" ref="CB50" ca="1" si="1282">W50*W53</f>
        <v>3867.1619749693618</v>
      </c>
      <c r="CC50" s="17">
        <f t="shared" ref="CC50" ca="1" si="1283">X50*X53</f>
        <v>4243.8983996276675</v>
      </c>
      <c r="CD50" s="17">
        <f t="shared" ref="CD50" ca="1" si="1284">Y50*Y53</f>
        <v>4656.1628155914987</v>
      </c>
      <c r="CE50" s="17">
        <f t="shared" ref="CE50" ca="1" si="1285">Z50*Z53</f>
        <v>5107.2285883519253</v>
      </c>
      <c r="CF50" s="17">
        <f t="shared" ref="CF50" ca="1" si="1286">AA50*AA53</f>
        <v>5600.6654427342355</v>
      </c>
      <c r="CG50" s="17">
        <f t="shared" ref="CG50" ca="1" si="1287">AB50*AB53</f>
        <v>6140.365930852262</v>
      </c>
      <c r="CH50" s="17">
        <f t="shared" ref="CH50" ca="1" si="1288">AC50*AC53</f>
        <v>6730.5742382356739</v>
      </c>
      <c r="CI50" s="17">
        <f t="shared" ref="CI50" ca="1" si="1289">AD50*AD53</f>
        <v>7375.9175328429774</v>
      </c>
      <c r="CJ50" s="17">
        <f t="shared" ref="CJ50" ca="1" si="1290">AE50*AE53</f>
        <v>8081.4400794627381</v>
      </c>
      <c r="CK50" s="17">
        <f t="shared" ref="CK50" ca="1" si="1291">AF50*AF53</f>
        <v>8790.2978235756145</v>
      </c>
      <c r="CL50" s="17">
        <f t="shared" ref="CL50" ca="1" si="1292">AG50*AG53</f>
        <v>14104.086773636482</v>
      </c>
      <c r="CM50" s="17">
        <f t="shared" ref="CM50" ca="1" si="1293">AH50*AH53</f>
        <v>22503.637700092499</v>
      </c>
      <c r="CN50" s="95" t="str">
        <f t="shared" ref="CN50:CN52" ca="1" si="1294">CO50&amp;" "&amp;CP50&amp;" "&amp;CQ50&amp;" "&amp;CR50&amp;" "&amp;CS50&amp;" "&amp;CT50&amp;" "&amp;CU50&amp;" "&amp;CV50&amp;" "&amp;CW50&amp;" "&amp;CX50&amp;" "&amp;CY50&amp;" "&amp;CZ50&amp;" "&amp;DA50&amp;" "&amp;DB50&amp;" "&amp;DC50&amp;" "&amp;DD50&amp;" "&amp;DE50&amp;" "&amp;DF50&amp;" "&amp;DG50&amp;" "&amp;DH50&amp;" "&amp;DI50&amp;" "&amp;DJ50&amp;" "&amp;DK50&amp;" "&amp;DL50&amp;" "</f>
        <v xml:space="preserve">103 112.7 128.6 149.3 171.3 196.3 220.5 254.2 284.7 315.5 349.2 380.3 414 454.8 499.5 548.4 602 660.7 725 795.3 872.2 948.7 1522.2 2428.8 </v>
      </c>
      <c r="CO50" s="96">
        <f ca="1">ROUND(BP50*(1-AQ50)*(1-$AK50)/8.76*(1+CO$2),1)</f>
        <v>103</v>
      </c>
      <c r="CP50" s="96">
        <f t="shared" ref="CP50:CP52" ca="1" si="1295">ROUND(BQ50*(1-AR50)*(1-$AK50)/8.76*(1+CP$2),1)</f>
        <v>112.7</v>
      </c>
      <c r="CQ50" s="96">
        <f t="shared" ref="CQ50:CQ52" ca="1" si="1296">ROUND(BR50*(1-AS50)*(1-$AK50)/8.76*(1+CQ$2),1)</f>
        <v>128.6</v>
      </c>
      <c r="CR50" s="96">
        <f t="shared" ref="CR50:CR52" ca="1" si="1297">ROUND(BS50*(1-AT50)*(1-$AK50)/8.76*(1+CR$2),1)</f>
        <v>149.30000000000001</v>
      </c>
      <c r="CS50" s="96">
        <f t="shared" ref="CS50:CS52" ca="1" si="1298">ROUND(BT50*(1-AU50)*(1-$AK50)/8.76*(1+CS$2),1)</f>
        <v>171.3</v>
      </c>
      <c r="CT50" s="96">
        <f t="shared" ref="CT50:CT52" ca="1" si="1299">ROUND(BU50*(1-AV50)*(1-$AK50)/8.76*(1+CT$2),1)</f>
        <v>196.3</v>
      </c>
      <c r="CU50" s="96">
        <f t="shared" ref="CU50:CU52" ca="1" si="1300">ROUND(BV50*(1-AW50)*(1-$AK50)/8.76*(1+CU$2),1)</f>
        <v>220.5</v>
      </c>
      <c r="CV50" s="96">
        <f t="shared" ref="CV50:CV52" ca="1" si="1301">ROUND(BW50*(1-AX50)*(1-$AK50)/8.76*(1+CV$2),1)</f>
        <v>254.2</v>
      </c>
      <c r="CW50" s="96">
        <f t="shared" ref="CW50:CW52" ca="1" si="1302">ROUND(BX50*(1-AY50)*(1-$AK50)/8.76*(1+CW$2),1)</f>
        <v>284.7</v>
      </c>
      <c r="CX50" s="96">
        <f t="shared" ref="CX50:CX52" ca="1" si="1303">ROUND(BY50*(1-AZ50)*(1-$AK50)/8.76*(1+CX$2),1)</f>
        <v>315.5</v>
      </c>
      <c r="CY50" s="96">
        <f t="shared" ref="CY50:CY52" ca="1" si="1304">ROUND(BZ50*(1-BA50)*(1-$AK50)/8.76*(1+CY$2),1)</f>
        <v>349.2</v>
      </c>
      <c r="CZ50" s="96">
        <f t="shared" ref="CZ50:CZ52" ca="1" si="1305">ROUND(CA50*(1-BB50)*(1-$AK50)/8.76*(1+CZ$2),1)</f>
        <v>380.3</v>
      </c>
      <c r="DA50" s="96">
        <f t="shared" ref="DA50:DA52" ca="1" si="1306">ROUND(CB50*(1-BC50)*(1-$AK50)/8.76*(1+DA$2),1)</f>
        <v>414</v>
      </c>
      <c r="DB50" s="96">
        <f t="shared" ref="DB50:DB52" ca="1" si="1307">ROUND(CC50*(1-BD50)*(1-$AK50)/8.76*(1+DB$2),1)</f>
        <v>454.8</v>
      </c>
      <c r="DC50" s="96">
        <f t="shared" ref="DC50:DC52" ca="1" si="1308">ROUND(CD50*(1-BE50)*(1-$AK50)/8.76*(1+DC$2),1)</f>
        <v>499.5</v>
      </c>
      <c r="DD50" s="96">
        <f t="shared" ref="DD50:DD52" ca="1" si="1309">ROUND(CE50*(1-BF50)*(1-$AK50)/8.76*(1+DD$2),1)</f>
        <v>548.4</v>
      </c>
      <c r="DE50" s="96">
        <f t="shared" ref="DE50:DE52" ca="1" si="1310">ROUND(CF50*(1-BG50)*(1-$AK50)/8.76*(1+DE$2),1)</f>
        <v>602</v>
      </c>
      <c r="DF50" s="96">
        <f t="shared" ref="DF50:DF52" ca="1" si="1311">ROUND(CG50*(1-BH50)*(1-$AK50)/8.76*(1+DF$2),1)</f>
        <v>660.7</v>
      </c>
      <c r="DG50" s="96">
        <f t="shared" ref="DG50:DG52" ca="1" si="1312">ROUND(CH50*(1-BI50)*(1-$AK50)/8.76*(1+DG$2),1)</f>
        <v>725</v>
      </c>
      <c r="DH50" s="96">
        <f t="shared" ref="DH50:DH52" ca="1" si="1313">ROUND(CI50*(1-BJ50)*(1-$AK50)/8.76*(1+DH$2),1)</f>
        <v>795.3</v>
      </c>
      <c r="DI50" s="96">
        <f t="shared" ref="DI50:DI52" ca="1" si="1314">ROUND(CJ50*(1-BK50)*(1-$AK50)/8.76*(1+DI$2),1)</f>
        <v>872.2</v>
      </c>
      <c r="DJ50" s="96">
        <f t="shared" ref="DJ50:DJ52" ca="1" si="1315">ROUND(CK50*(1-BL50)*(1-$AK50)/8.76*(1+DJ$2),1)</f>
        <v>948.7</v>
      </c>
      <c r="DK50" s="96">
        <f t="shared" ref="DK50:DK52" ca="1" si="1316">ROUND(CL50*(1-BM50)*(1-$AK50)/8.76*(1+DK$2),1)</f>
        <v>1522.2</v>
      </c>
      <c r="DL50" s="96">
        <f t="shared" ref="DL50:DL52" ca="1" si="1317">ROUND(CM50*(1-BN50)*(1-$AK50)/8.76*(1+DL$2),1)</f>
        <v>2428.8000000000002</v>
      </c>
      <c r="DM50" s="95" t="str">
        <f t="shared" ref="DM50:DM52" si="1318">DN50&amp;" "&amp;DO50&amp;" "&amp;DP50&amp;" "&amp;DQ50&amp;" "&amp;DR50&amp;" "&amp;DS50&amp;" "&amp;DT50&amp;" "&amp;DU50&amp;" "&amp;DV50&amp;" "&amp;DW50&amp;" "&amp;DX50&amp;" "&amp;DY50&amp;" "&amp;DZ50&amp;" "&amp;EA50&amp;" "&amp;EB50&amp;" "&amp;EC50&amp;" "&amp;ED50&amp;" "&amp;EE50&amp;" "&amp;EF50&amp;" "&amp;EG50&amp;" "&amp;EH50&amp;" "&amp;EI50&amp;" "&amp;EJ50&amp;" "&amp;EK50&amp;" "</f>
        <v xml:space="preserve">0.98 0.98 0.98 0.98 0.98 0.98 0.98 0.98 0.98 0.98 0.98 0.981 0.982 0.983 0.984 0.985 0.986 0.987 0.988 0.989 0.99 0.99 0.99 0.99 </v>
      </c>
      <c r="DN50" s="91">
        <f>1-AQ50</f>
        <v>0.98</v>
      </c>
      <c r="DO50" s="91">
        <f t="shared" ref="DO50:ED52" si="1319">1-AR50</f>
        <v>0.98</v>
      </c>
      <c r="DP50" s="91">
        <f t="shared" si="1319"/>
        <v>0.98</v>
      </c>
      <c r="DQ50" s="91">
        <f t="shared" si="1319"/>
        <v>0.98</v>
      </c>
      <c r="DR50" s="91">
        <f t="shared" si="1319"/>
        <v>0.98</v>
      </c>
      <c r="DS50" s="91">
        <f t="shared" si="1319"/>
        <v>0.98</v>
      </c>
      <c r="DT50" s="91">
        <f t="shared" si="1319"/>
        <v>0.98</v>
      </c>
      <c r="DU50" s="91">
        <f t="shared" si="1319"/>
        <v>0.98</v>
      </c>
      <c r="DV50" s="91">
        <f t="shared" si="1319"/>
        <v>0.98</v>
      </c>
      <c r="DW50" s="91">
        <f t="shared" si="1319"/>
        <v>0.98</v>
      </c>
      <c r="DX50" s="91">
        <f t="shared" si="1319"/>
        <v>0.98</v>
      </c>
      <c r="DY50" s="91">
        <f t="shared" si="1319"/>
        <v>0.98099999999999998</v>
      </c>
      <c r="DZ50" s="91">
        <f t="shared" si="1319"/>
        <v>0.98199999999999998</v>
      </c>
      <c r="EA50" s="91">
        <f t="shared" si="1319"/>
        <v>0.98299999999999998</v>
      </c>
      <c r="EB50" s="91">
        <f t="shared" si="1319"/>
        <v>0.98399999999999999</v>
      </c>
      <c r="EC50" s="91">
        <f t="shared" si="1319"/>
        <v>0.98499999999999999</v>
      </c>
      <c r="ED50" s="91">
        <f t="shared" si="1319"/>
        <v>0.98599999999999999</v>
      </c>
      <c r="EE50" s="91">
        <f t="shared" ref="EE50:EK52" si="1320">1-BH50</f>
        <v>0.98699999999999999</v>
      </c>
      <c r="EF50" s="91">
        <f t="shared" si="1320"/>
        <v>0.98799999999999999</v>
      </c>
      <c r="EG50" s="91">
        <f t="shared" si="1320"/>
        <v>0.98899999999999999</v>
      </c>
      <c r="EH50" s="91">
        <f t="shared" si="1320"/>
        <v>0.99</v>
      </c>
      <c r="EI50" s="91">
        <f t="shared" si="1320"/>
        <v>0.99</v>
      </c>
      <c r="EJ50" s="91">
        <f t="shared" si="1320"/>
        <v>0.99</v>
      </c>
      <c r="EK50" s="91">
        <f t="shared" si="1320"/>
        <v>0.99</v>
      </c>
    </row>
    <row r="51" spans="1:141" x14ac:dyDescent="0.25">
      <c r="A51" t="str">
        <f t="shared" si="17"/>
        <v>UrbanTAN</v>
      </c>
      <c r="B51" t="str">
        <f t="shared" si="1268"/>
        <v>Urban</v>
      </c>
      <c r="C51" t="str">
        <f>IFERROR(VLOOKUP(D51,PoolPlan_EnergyProj!$C$89:$D$100,2,FALSE),C50)</f>
        <v>TAN</v>
      </c>
      <c r="D51" t="s">
        <v>148</v>
      </c>
      <c r="E51" s="91">
        <f>1-E50-E52</f>
        <v>0.78</v>
      </c>
      <c r="F51" s="91">
        <f>1-F50-F52</f>
        <v>0.72</v>
      </c>
      <c r="G51" s="91">
        <f t="shared" ref="G51:I51" si="1321">1-G50-G52</f>
        <v>0.66999999999999993</v>
      </c>
      <c r="H51" s="91">
        <f t="shared" si="1321"/>
        <v>0.6</v>
      </c>
      <c r="I51" s="91">
        <f t="shared" si="1321"/>
        <v>0.54999999999999993</v>
      </c>
      <c r="K51" s="91">
        <f t="shared" ref="K51:K52" si="1322">E51</f>
        <v>0.78</v>
      </c>
      <c r="L51" s="91">
        <f t="shared" ref="L51:O52" si="1323">($P51-$K51)/($P$4-$K$4)+K51</f>
        <v>0.76800000000000002</v>
      </c>
      <c r="M51" s="91">
        <f t="shared" si="1323"/>
        <v>0.75600000000000001</v>
      </c>
      <c r="N51" s="91">
        <f t="shared" si="1323"/>
        <v>0.74399999999999999</v>
      </c>
      <c r="O51" s="91">
        <f t="shared" si="1323"/>
        <v>0.73199999999999998</v>
      </c>
      <c r="P51" s="91">
        <f t="shared" ref="P51:P52" si="1324">F51</f>
        <v>0.72</v>
      </c>
      <c r="Q51" s="91">
        <f t="shared" ref="Q51:T52" si="1325">($U51-$P51)/($U$4-$P$4)+P51</f>
        <v>0.71</v>
      </c>
      <c r="R51" s="91">
        <f t="shared" si="1325"/>
        <v>0.7</v>
      </c>
      <c r="S51" s="91">
        <f t="shared" si="1325"/>
        <v>0.69</v>
      </c>
      <c r="T51" s="91">
        <f t="shared" si="1325"/>
        <v>0.67999999999999994</v>
      </c>
      <c r="U51" s="91">
        <f t="shared" ref="U51:U52" si="1326">G51</f>
        <v>0.66999999999999993</v>
      </c>
      <c r="V51" s="91">
        <f t="shared" ref="V51:V52" si="1327">(AE51-U51)/(AE$4-U$4)+U51</f>
        <v>0.66299999999999992</v>
      </c>
      <c r="W51" s="91">
        <f t="shared" ref="W51:W52" si="1328">(AE51-U51)/(AE$4-U$4)+V51</f>
        <v>0.65599999999999992</v>
      </c>
      <c r="X51" s="91">
        <f t="shared" ref="X51:X52" si="1329">(AE51-U51)/(AE$4-U$4)+W51</f>
        <v>0.64899999999999991</v>
      </c>
      <c r="Y51" s="91">
        <f t="shared" ref="Y51:Y52" si="1330">(AE51-U51)/(AE$4-U$4)+X51</f>
        <v>0.6419999999999999</v>
      </c>
      <c r="Z51" s="91">
        <f t="shared" ref="Z51:Z52" si="1331">(AE51-U51)/(AE$4-U$4)+Y51</f>
        <v>0.6349999999999999</v>
      </c>
      <c r="AA51" s="91">
        <f t="shared" ref="AA51:AA52" si="1332">(AE51-U51)/(AE$4-U$4)+Z51</f>
        <v>0.62799999999999989</v>
      </c>
      <c r="AB51" s="91">
        <f t="shared" ref="AB51:AB52" si="1333">(AE51-U51)/(AE$4-U$4)+AA51</f>
        <v>0.62099999999999989</v>
      </c>
      <c r="AC51" s="91">
        <f t="shared" ref="AC51:AC52" si="1334">(AE51-U51)/(AE$4-U$4)+AB51</f>
        <v>0.61399999999999988</v>
      </c>
      <c r="AD51" s="91">
        <f t="shared" ref="AD51:AD52" si="1335">(AE51-U51)/(AE$4-U$4)+AC51</f>
        <v>0.60699999999999987</v>
      </c>
      <c r="AE51" s="91">
        <f t="shared" ref="AE51:AE52" si="1336">H51</f>
        <v>0.6</v>
      </c>
      <c r="AF51" s="91">
        <f>(AH51-AE51)/(AH$4-AE$4)+AE51</f>
        <v>0.59749999999999992</v>
      </c>
      <c r="AG51" s="91">
        <f t="shared" ref="AG51:AG52" si="1337">(AE51+AH51)/2</f>
        <v>0.57499999999999996</v>
      </c>
      <c r="AH51" s="91">
        <f>I51</f>
        <v>0.54999999999999993</v>
      </c>
      <c r="AJ51" s="91" t="s">
        <v>149</v>
      </c>
      <c r="AK51" s="91">
        <f>AK50</f>
        <v>4.4999999999999998E-2</v>
      </c>
      <c r="AL51" s="97">
        <f>AL41</f>
        <v>0.17</v>
      </c>
      <c r="AM51" s="91">
        <v>0.1</v>
      </c>
      <c r="AN51" s="91">
        <v>0.08</v>
      </c>
      <c r="AO51" s="91">
        <f>AN51</f>
        <v>0.08</v>
      </c>
      <c r="AP51" s="95" t="str">
        <f>AQ51&amp;" "&amp;AR51&amp;" "&amp;AS51&amp;" "&amp;AT51&amp;" "&amp;AU51&amp;" "&amp;AV51&amp;" "&amp;AW51&amp;" "&amp;AX51&amp;" "&amp;AY51&amp;" "&amp;AZ51&amp;" "&amp;BA51&amp;" "&amp;BB51&amp;" "&amp;BC51&amp;" "&amp;BD51&amp;" "&amp;BE51&amp;" "&amp;BF51&amp;" "&amp;BG51&amp;" "&amp;BH51&amp;" "&amp;BI51&amp;" "&amp;BJ51&amp;" "&amp;BK51&amp;" "&amp;BL51&amp;" "&amp;BM51&amp;" "&amp;BN51&amp;" "</f>
        <v xml:space="preserve">0.17 0.163 0.156 0.149 0.142 0.135 0.128 0.121 0.114 0.107 0.1 0.098 0.096 0.094 0.092 0.09 0.088 0.086 0.084 0.082 0.08 0.08 0.08 0.08 </v>
      </c>
      <c r="AQ51" s="91">
        <f t="shared" ref="AQ51:AQ52" si="1338">AL51</f>
        <v>0.17</v>
      </c>
      <c r="AR51" s="91">
        <f t="shared" ref="AR51:AR52" si="1339">(BA51-AQ51)/(BA$4-AQ$4)+AQ51</f>
        <v>0.16300000000000001</v>
      </c>
      <c r="AS51" s="91">
        <f t="shared" ref="AS51:AS52" si="1340">(BA51-AQ51)/(BA$4-AQ$4)+AR51</f>
        <v>0.156</v>
      </c>
      <c r="AT51" s="91">
        <f t="shared" ref="AT51:AT52" si="1341">(BA51-AQ51)/(BA$4-AQ$4)+AS51</f>
        <v>0.14899999999999999</v>
      </c>
      <c r="AU51" s="91">
        <f t="shared" ref="AU51:AU52" si="1342">(BA51-AQ51)/(BA$4-AQ$4)+AT51</f>
        <v>0.14199999999999999</v>
      </c>
      <c r="AV51" s="91">
        <f t="shared" ref="AV51:AV52" si="1343">(BA51-AQ51)/(BA$4-AQ$4)+AU51</f>
        <v>0.13499999999999998</v>
      </c>
      <c r="AW51" s="91">
        <f t="shared" ref="AW51:AW52" si="1344">(BA51-AQ51)/(BA$4-AQ$4)+AV51</f>
        <v>0.12799999999999997</v>
      </c>
      <c r="AX51" s="91">
        <f t="shared" ref="AX51:AX52" si="1345">(BA51-AQ51)/(BA$4-AQ$4)+AW51</f>
        <v>0.12099999999999997</v>
      </c>
      <c r="AY51" s="91">
        <f t="shared" ref="AY51:AY52" si="1346">(BA51-AQ51)/(BA$4-AQ$4)+AX51</f>
        <v>0.11399999999999996</v>
      </c>
      <c r="AZ51" s="91">
        <f t="shared" ref="AZ51:AZ52" si="1347">(BA51-AQ51)/(BA$4-AQ$4)+AY51</f>
        <v>0.10699999999999996</v>
      </c>
      <c r="BA51" s="91">
        <f t="shared" ref="BA51:BA52" si="1348">AM51</f>
        <v>0.1</v>
      </c>
      <c r="BB51" s="91">
        <f t="shared" ref="BB51:BB52" si="1349">(BK51-BA51)/(BK$4-BA$4)+BA51</f>
        <v>9.8000000000000004E-2</v>
      </c>
      <c r="BC51" s="91">
        <f t="shared" ref="BC51:BC52" si="1350">(BK51-BA51)/(BK$4-BA$4)+BB51</f>
        <v>9.6000000000000002E-2</v>
      </c>
      <c r="BD51" s="91">
        <f t="shared" ref="BD51:BD52" si="1351">(BK51-BA51)/(BK$4-BA$4)+BC51</f>
        <v>9.4E-2</v>
      </c>
      <c r="BE51" s="91">
        <f t="shared" ref="BE51:BE52" si="1352">(BK51-BA51)/(BK$4-BA$4)+BD51</f>
        <v>9.1999999999999998E-2</v>
      </c>
      <c r="BF51" s="91">
        <f t="shared" ref="BF51:BF52" si="1353">(BK51-BA51)/(BK$4-BA$4)+BE51</f>
        <v>0.09</v>
      </c>
      <c r="BG51" s="91">
        <f t="shared" ref="BG51:BG52" si="1354">(BK51-BA51)/(BK$4-BA$4)+BF51</f>
        <v>8.7999999999999995E-2</v>
      </c>
      <c r="BH51" s="91">
        <f t="shared" ref="BH51:BH52" si="1355">(BK51-BA51)/(BK$4-BA$4)+BG51</f>
        <v>8.5999999999999993E-2</v>
      </c>
      <c r="BI51" s="91">
        <f t="shared" ref="BI51:BI52" si="1356">(BK51-BA51)/(BK$4-BA$4)+BH51</f>
        <v>8.3999999999999991E-2</v>
      </c>
      <c r="BJ51" s="91">
        <f t="shared" ref="BJ51:BJ52" si="1357">(BK51-BA51)/(BK$4-BA$4)+BI51</f>
        <v>8.199999999999999E-2</v>
      </c>
      <c r="BK51" s="91">
        <f t="shared" ref="BK51:BK52" si="1358">AN51</f>
        <v>0.08</v>
      </c>
      <c r="BL51" s="91">
        <f>(BN51-BK51)/(BN$4-BK$4)+BK51</f>
        <v>0.08</v>
      </c>
      <c r="BM51" s="91">
        <f t="shared" ref="BM51:BM52" si="1359">(BK51+BN51)/2</f>
        <v>0.08</v>
      </c>
      <c r="BN51" s="91">
        <f>AO51</f>
        <v>0.08</v>
      </c>
      <c r="BP51" s="17">
        <f ca="1">K51*K53</f>
        <v>3759.6</v>
      </c>
      <c r="BQ51" s="17">
        <f t="shared" ref="BQ51" ca="1" si="1360">L51*L53</f>
        <v>3856.1280000000002</v>
      </c>
      <c r="BR51" s="17">
        <f t="shared" ref="BR51" ca="1" si="1361">M51*M53</f>
        <v>4137.5048400000005</v>
      </c>
      <c r="BS51" s="17">
        <f t="shared" ref="BS51" ca="1" si="1362">N51*N53</f>
        <v>4519.7314776000012</v>
      </c>
      <c r="BT51" s="17">
        <f t="shared" ref="BT51" ca="1" si="1363">O51*O53</f>
        <v>4891.5158410800013</v>
      </c>
      <c r="BU51" s="17">
        <f t="shared" ref="BU51" ca="1" si="1364">P51*P53</f>
        <v>5292.4597624800017</v>
      </c>
      <c r="BV51" s="17">
        <f t="shared" ref="BV51" ca="1" si="1365">Q51*Q53</f>
        <v>5636.4696470412018</v>
      </c>
      <c r="BW51" s="17">
        <f t="shared" ref="BW51" ca="1" si="1366">R51*R53</f>
        <v>6168.3618531704424</v>
      </c>
      <c r="BX51" s="17">
        <f t="shared" ref="BX51" ca="1" si="1367">S51*S53</f>
        <v>6566.6617899751627</v>
      </c>
      <c r="BY51" s="17">
        <f t="shared" ref="BY51" ca="1" si="1368">T51*T53</f>
        <v>6924.4972730230838</v>
      </c>
      <c r="BZ51" s="17">
        <f t="shared" ref="BZ51" ca="1" si="1369">U51*U53</f>
        <v>7300.2530809268374</v>
      </c>
      <c r="CA51" s="17">
        <f t="shared" ref="CA51" ca="1" si="1370">V51*V53</f>
        <v>7729.6605046870263</v>
      </c>
      <c r="CB51" s="17">
        <f t="shared" ref="CB51" ca="1" si="1371">W51*W53</f>
        <v>8183.4137276771007</v>
      </c>
      <c r="CC51" s="17">
        <f t="shared" ref="CC51" ca="1" si="1372">X51*X53</f>
        <v>8743.7779725662094</v>
      </c>
      <c r="CD51" s="17">
        <f t="shared" ref="CD51" ca="1" si="1373">Y51*Y53</f>
        <v>9341.4266487804416</v>
      </c>
      <c r="CE51" s="17">
        <f t="shared" ref="CE51" ca="1" si="1374">Z51*Z53</f>
        <v>9978.7389341645285</v>
      </c>
      <c r="CF51" s="17">
        <f t="shared" ref="CF51" ca="1" si="1375">AA51*AA53</f>
        <v>10658.236054657877</v>
      </c>
      <c r="CG51" s="17">
        <f t="shared" ref="CG51" ca="1" si="1376">AB51*AB53</f>
        <v>11382.588785251504</v>
      </c>
      <c r="CH51" s="17">
        <f t="shared" ref="CH51" ca="1" si="1377">AC51*AC53</f>
        <v>12154.625241990301</v>
      </c>
      <c r="CI51" s="17">
        <f t="shared" ref="CI51" ca="1" si="1378">AD51*AD53</f>
        <v>12977.338963581698</v>
      </c>
      <c r="CJ51" s="17">
        <f t="shared" ref="CJ51" ca="1" si="1379">AE51*AE53</f>
        <v>13853.897279078981</v>
      </c>
      <c r="CK51" s="17">
        <f t="shared" ref="CK51" ca="1" si="1380">AF51*AF53</f>
        <v>14899.866523649445</v>
      </c>
      <c r="CL51" s="17">
        <f t="shared" ref="CL51" ca="1" si="1381">AG51*AG53</f>
        <v>21626.266386242605</v>
      </c>
      <c r="CM51" s="17">
        <f t="shared" ref="CM51" ca="1" si="1382">AH51*AH53</f>
        <v>30942.50183762718</v>
      </c>
      <c r="CN51" s="95" t="str">
        <f t="shared" ca="1" si="1294"/>
        <v xml:space="preserve">340.2 351.9 380.7 419.3 457.5 499.1 535.8 591.1 634.3 674.1 716.3 760.1 806.5 863.6 924.7 990 1059.7 1134.2 1213.8 1298.8 1389.5 1494.4 2169 3103.4 </v>
      </c>
      <c r="CO51" s="96">
        <f ca="1">ROUND(BP51*(1-AQ51)*(1-$AK51)/8.76*(1+CO$2),1)</f>
        <v>340.2</v>
      </c>
      <c r="CP51" s="96">
        <f t="shared" ca="1" si="1295"/>
        <v>351.9</v>
      </c>
      <c r="CQ51" s="96">
        <f t="shared" ca="1" si="1296"/>
        <v>380.7</v>
      </c>
      <c r="CR51" s="96">
        <f t="shared" ca="1" si="1297"/>
        <v>419.3</v>
      </c>
      <c r="CS51" s="96">
        <f t="shared" ca="1" si="1298"/>
        <v>457.5</v>
      </c>
      <c r="CT51" s="96">
        <f t="shared" ca="1" si="1299"/>
        <v>499.1</v>
      </c>
      <c r="CU51" s="96">
        <f t="shared" ca="1" si="1300"/>
        <v>535.79999999999995</v>
      </c>
      <c r="CV51" s="96">
        <f t="shared" ca="1" si="1301"/>
        <v>591.1</v>
      </c>
      <c r="CW51" s="96">
        <f t="shared" ca="1" si="1302"/>
        <v>634.29999999999995</v>
      </c>
      <c r="CX51" s="96">
        <f t="shared" ca="1" si="1303"/>
        <v>674.1</v>
      </c>
      <c r="CY51" s="96">
        <f t="shared" ca="1" si="1304"/>
        <v>716.3</v>
      </c>
      <c r="CZ51" s="96">
        <f t="shared" ca="1" si="1305"/>
        <v>760.1</v>
      </c>
      <c r="DA51" s="96">
        <f t="shared" ca="1" si="1306"/>
        <v>806.5</v>
      </c>
      <c r="DB51" s="96">
        <f t="shared" ca="1" si="1307"/>
        <v>863.6</v>
      </c>
      <c r="DC51" s="96">
        <f t="shared" ca="1" si="1308"/>
        <v>924.7</v>
      </c>
      <c r="DD51" s="96">
        <f t="shared" ca="1" si="1309"/>
        <v>990</v>
      </c>
      <c r="DE51" s="96">
        <f t="shared" ca="1" si="1310"/>
        <v>1059.7</v>
      </c>
      <c r="DF51" s="96">
        <f t="shared" ca="1" si="1311"/>
        <v>1134.2</v>
      </c>
      <c r="DG51" s="96">
        <f t="shared" ca="1" si="1312"/>
        <v>1213.8</v>
      </c>
      <c r="DH51" s="96">
        <f t="shared" ca="1" si="1313"/>
        <v>1298.8</v>
      </c>
      <c r="DI51" s="96">
        <f t="shared" ca="1" si="1314"/>
        <v>1389.5</v>
      </c>
      <c r="DJ51" s="96">
        <f t="shared" ca="1" si="1315"/>
        <v>1494.4</v>
      </c>
      <c r="DK51" s="96">
        <f t="shared" ca="1" si="1316"/>
        <v>2169</v>
      </c>
      <c r="DL51" s="96">
        <f t="shared" ca="1" si="1317"/>
        <v>3103.4</v>
      </c>
      <c r="DM51" s="95" t="str">
        <f t="shared" si="1318"/>
        <v xml:space="preserve">0.83 0.837 0.844 0.851 0.858 0.865 0.872 0.879 0.886 0.893 0.9 0.902 0.904 0.906 0.908 0.91 0.912 0.914 0.916 0.918 0.92 0.92 0.92 0.92 </v>
      </c>
      <c r="DN51" s="91">
        <f t="shared" ref="DN51:DN52" si="1383">1-AQ51</f>
        <v>0.83</v>
      </c>
      <c r="DO51" s="91">
        <f t="shared" si="1319"/>
        <v>0.83699999999999997</v>
      </c>
      <c r="DP51" s="91">
        <f t="shared" si="1319"/>
        <v>0.84399999999999997</v>
      </c>
      <c r="DQ51" s="91">
        <f t="shared" si="1319"/>
        <v>0.85099999999999998</v>
      </c>
      <c r="DR51" s="91">
        <f t="shared" si="1319"/>
        <v>0.85799999999999998</v>
      </c>
      <c r="DS51" s="91">
        <f t="shared" si="1319"/>
        <v>0.86499999999999999</v>
      </c>
      <c r="DT51" s="91">
        <f t="shared" si="1319"/>
        <v>0.872</v>
      </c>
      <c r="DU51" s="91">
        <f t="shared" si="1319"/>
        <v>0.879</v>
      </c>
      <c r="DV51" s="91">
        <f t="shared" si="1319"/>
        <v>0.88600000000000001</v>
      </c>
      <c r="DW51" s="91">
        <f t="shared" si="1319"/>
        <v>0.89300000000000002</v>
      </c>
      <c r="DX51" s="91">
        <f t="shared" si="1319"/>
        <v>0.9</v>
      </c>
      <c r="DY51" s="91">
        <f t="shared" si="1319"/>
        <v>0.90200000000000002</v>
      </c>
      <c r="DZ51" s="91">
        <f t="shared" si="1319"/>
        <v>0.90400000000000003</v>
      </c>
      <c r="EA51" s="91">
        <f t="shared" si="1319"/>
        <v>0.90600000000000003</v>
      </c>
      <c r="EB51" s="91">
        <f t="shared" si="1319"/>
        <v>0.90800000000000003</v>
      </c>
      <c r="EC51" s="91">
        <f t="shared" si="1319"/>
        <v>0.91</v>
      </c>
      <c r="ED51" s="91">
        <f t="shared" si="1319"/>
        <v>0.91200000000000003</v>
      </c>
      <c r="EE51" s="91">
        <f t="shared" si="1320"/>
        <v>0.91400000000000003</v>
      </c>
      <c r="EF51" s="91">
        <f t="shared" si="1320"/>
        <v>0.91600000000000004</v>
      </c>
      <c r="EG51" s="91">
        <f t="shared" si="1320"/>
        <v>0.91800000000000004</v>
      </c>
      <c r="EH51" s="91">
        <f t="shared" si="1320"/>
        <v>0.92</v>
      </c>
      <c r="EI51" s="91">
        <f t="shared" si="1320"/>
        <v>0.92</v>
      </c>
      <c r="EJ51" s="91">
        <f t="shared" si="1320"/>
        <v>0.92</v>
      </c>
      <c r="EK51" s="91">
        <f t="shared" si="1320"/>
        <v>0.92</v>
      </c>
    </row>
    <row r="52" spans="1:141" x14ac:dyDescent="0.25">
      <c r="A52" t="str">
        <f t="shared" si="17"/>
        <v>RuralTAN</v>
      </c>
      <c r="B52" t="str">
        <f t="shared" si="1268"/>
        <v>Rural</v>
      </c>
      <c r="C52" t="str">
        <f>IFERROR(VLOOKUP(D52,PoolPlan_EnergyProj!$C$89:$D$100,2,FALSE),C51)</f>
        <v>TAN</v>
      </c>
      <c r="D52" t="s">
        <v>150</v>
      </c>
      <c r="E52" s="91">
        <v>0.02</v>
      </c>
      <c r="F52" s="91">
        <v>0.03</v>
      </c>
      <c r="G52" s="91">
        <v>0.03</v>
      </c>
      <c r="H52" s="91">
        <v>0.05</v>
      </c>
      <c r="I52" s="91">
        <v>0.05</v>
      </c>
      <c r="K52" s="91">
        <f t="shared" si="1322"/>
        <v>0.02</v>
      </c>
      <c r="L52" s="91">
        <f t="shared" si="1323"/>
        <v>2.1999999999999999E-2</v>
      </c>
      <c r="M52" s="91">
        <f t="shared" si="1323"/>
        <v>2.3999999999999997E-2</v>
      </c>
      <c r="N52" s="91">
        <f t="shared" si="1323"/>
        <v>2.5999999999999995E-2</v>
      </c>
      <c r="O52" s="91">
        <f t="shared" si="1323"/>
        <v>2.7999999999999994E-2</v>
      </c>
      <c r="P52" s="91">
        <f t="shared" si="1324"/>
        <v>0.03</v>
      </c>
      <c r="Q52" s="91">
        <f t="shared" si="1325"/>
        <v>0.03</v>
      </c>
      <c r="R52" s="91">
        <f t="shared" si="1325"/>
        <v>0.03</v>
      </c>
      <c r="S52" s="91">
        <f t="shared" si="1325"/>
        <v>0.03</v>
      </c>
      <c r="T52" s="91">
        <f t="shared" si="1325"/>
        <v>0.03</v>
      </c>
      <c r="U52" s="91">
        <f t="shared" si="1326"/>
        <v>0.03</v>
      </c>
      <c r="V52" s="91">
        <f t="shared" si="1327"/>
        <v>3.2000000000000001E-2</v>
      </c>
      <c r="W52" s="91">
        <f t="shared" si="1328"/>
        <v>3.4000000000000002E-2</v>
      </c>
      <c r="X52" s="91">
        <f t="shared" si="1329"/>
        <v>3.6000000000000004E-2</v>
      </c>
      <c r="Y52" s="91">
        <f t="shared" si="1330"/>
        <v>3.8000000000000006E-2</v>
      </c>
      <c r="Z52" s="91">
        <f t="shared" si="1331"/>
        <v>4.0000000000000008E-2</v>
      </c>
      <c r="AA52" s="91">
        <f t="shared" si="1332"/>
        <v>4.200000000000001E-2</v>
      </c>
      <c r="AB52" s="91">
        <f t="shared" si="1333"/>
        <v>4.4000000000000011E-2</v>
      </c>
      <c r="AC52" s="91">
        <f t="shared" si="1334"/>
        <v>4.6000000000000013E-2</v>
      </c>
      <c r="AD52" s="91">
        <f t="shared" si="1335"/>
        <v>4.8000000000000015E-2</v>
      </c>
      <c r="AE52" s="91">
        <f t="shared" si="1336"/>
        <v>0.05</v>
      </c>
      <c r="AF52" s="91">
        <f>(AH52-AE52)/(AH$4-AE$4)+AE52</f>
        <v>0.05</v>
      </c>
      <c r="AG52" s="91">
        <f t="shared" si="1337"/>
        <v>0.05</v>
      </c>
      <c r="AH52" s="91">
        <f>I52</f>
        <v>0.05</v>
      </c>
      <c r="AJ52" s="98">
        <f>1-((1-AL52)*K52+(1-AL51)*K51+(1-AL50)*K50)*(1-AK50)</f>
        <v>0.18022799999999994</v>
      </c>
      <c r="AK52" s="91">
        <f>AK51</f>
        <v>4.4999999999999998E-2</v>
      </c>
      <c r="AL52" s="97">
        <f>AL42</f>
        <v>0.25</v>
      </c>
      <c r="AM52" s="91">
        <v>0.2</v>
      </c>
      <c r="AN52" s="91">
        <v>0.2</v>
      </c>
      <c r="AO52" s="91">
        <f>AN52</f>
        <v>0.2</v>
      </c>
      <c r="AP52" s="95" t="str">
        <f>AQ52&amp;" "&amp;AR52&amp;" "&amp;AS52&amp;" "&amp;AT52&amp;" "&amp;AU52&amp;" "&amp;AV52&amp;" "&amp;AW52&amp;" "&amp;AX52&amp;" "&amp;AY52&amp;" "&amp;AZ52&amp;" "&amp;BA52&amp;" "&amp;BB52&amp;" "&amp;BC52&amp;" "&amp;BD52&amp;" "&amp;BE52&amp;" "&amp;BF52&amp;" "&amp;BG52&amp;" "&amp;BH52&amp;" "&amp;BI52&amp;" "&amp;BJ52&amp;" "&amp;BK52&amp;" "&amp;BL52&amp;" "&amp;BM52&amp;" "&amp;BN52&amp;" "</f>
        <v xml:space="preserve">0.25 0.245 0.24 0.235 0.23 0.225 0.22 0.215 0.21 0.205 0.2 0.2 0.2 0.2 0.2 0.2 0.2 0.2 0.2 0.2 0.2 0.2 0.2 0.2 </v>
      </c>
      <c r="AQ52" s="91">
        <f t="shared" si="1338"/>
        <v>0.25</v>
      </c>
      <c r="AR52" s="91">
        <f t="shared" si="1339"/>
        <v>0.245</v>
      </c>
      <c r="AS52" s="91">
        <f t="shared" si="1340"/>
        <v>0.24</v>
      </c>
      <c r="AT52" s="91">
        <f t="shared" si="1341"/>
        <v>0.23499999999999999</v>
      </c>
      <c r="AU52" s="91">
        <f t="shared" si="1342"/>
        <v>0.22999999999999998</v>
      </c>
      <c r="AV52" s="91">
        <f t="shared" si="1343"/>
        <v>0.22499999999999998</v>
      </c>
      <c r="AW52" s="91">
        <f t="shared" si="1344"/>
        <v>0.21999999999999997</v>
      </c>
      <c r="AX52" s="91">
        <f t="shared" si="1345"/>
        <v>0.21499999999999997</v>
      </c>
      <c r="AY52" s="91">
        <f t="shared" si="1346"/>
        <v>0.20999999999999996</v>
      </c>
      <c r="AZ52" s="91">
        <f t="shared" si="1347"/>
        <v>0.20499999999999996</v>
      </c>
      <c r="BA52" s="91">
        <f t="shared" si="1348"/>
        <v>0.2</v>
      </c>
      <c r="BB52" s="91">
        <f t="shared" si="1349"/>
        <v>0.2</v>
      </c>
      <c r="BC52" s="91">
        <f t="shared" si="1350"/>
        <v>0.2</v>
      </c>
      <c r="BD52" s="91">
        <f t="shared" si="1351"/>
        <v>0.2</v>
      </c>
      <c r="BE52" s="91">
        <f t="shared" si="1352"/>
        <v>0.2</v>
      </c>
      <c r="BF52" s="91">
        <f t="shared" si="1353"/>
        <v>0.2</v>
      </c>
      <c r="BG52" s="91">
        <f t="shared" si="1354"/>
        <v>0.2</v>
      </c>
      <c r="BH52" s="91">
        <f t="shared" si="1355"/>
        <v>0.2</v>
      </c>
      <c r="BI52" s="91">
        <f t="shared" si="1356"/>
        <v>0.2</v>
      </c>
      <c r="BJ52" s="91">
        <f t="shared" si="1357"/>
        <v>0.2</v>
      </c>
      <c r="BK52" s="91">
        <f t="shared" si="1358"/>
        <v>0.2</v>
      </c>
      <c r="BL52" s="91">
        <f>(BN52-BK52)/(BN$4-BK$4)+BK52</f>
        <v>0.2</v>
      </c>
      <c r="BM52" s="91">
        <f t="shared" si="1359"/>
        <v>0.2</v>
      </c>
      <c r="BN52" s="91">
        <f>AO52</f>
        <v>0.2</v>
      </c>
      <c r="BP52" s="17">
        <f ca="1">K52*K53</f>
        <v>96.4</v>
      </c>
      <c r="BQ52" s="17">
        <f t="shared" ref="BQ52" ca="1" si="1384">L52*L53</f>
        <v>110.46199999999999</v>
      </c>
      <c r="BR52" s="17">
        <f t="shared" ref="BR52" ca="1" si="1385">M52*M53</f>
        <v>131.34935999999999</v>
      </c>
      <c r="BS52" s="17">
        <f t="shared" ref="BS52" ca="1" si="1386">N52*N53</f>
        <v>157.94760539999999</v>
      </c>
      <c r="BT52" s="17">
        <f t="shared" ref="BT52" ca="1" si="1387">O52*O53</f>
        <v>187.10716332000001</v>
      </c>
      <c r="BU52" s="17">
        <f t="shared" ref="BU52" ca="1" si="1388">P52*P53</f>
        <v>220.51915677000008</v>
      </c>
      <c r="BV52" s="17">
        <f t="shared" ref="BV52" ca="1" si="1389">Q52*Q53</f>
        <v>238.16068931160009</v>
      </c>
      <c r="BW52" s="17">
        <f t="shared" ref="BW52" ca="1" si="1390">R52*R53</f>
        <v>264.35836513587611</v>
      </c>
      <c r="BX52" s="17">
        <f t="shared" ref="BX52" ca="1" si="1391">S52*S53</f>
        <v>285.5070343467462</v>
      </c>
      <c r="BY52" s="17">
        <f t="shared" ref="BY52" ca="1" si="1392">T52*T53</f>
        <v>305.49252675101843</v>
      </c>
      <c r="BZ52" s="17">
        <f t="shared" ref="BZ52" ca="1" si="1393">U52*U53</f>
        <v>326.87700362358976</v>
      </c>
      <c r="CA52" s="17">
        <f t="shared" ref="CA52" ca="1" si="1394">V52*V53</f>
        <v>373.0756201357238</v>
      </c>
      <c r="CB52" s="17">
        <f t="shared" ref="CB52" ca="1" si="1395">W52*W53</f>
        <v>424.14034564180105</v>
      </c>
      <c r="CC52" s="17">
        <f t="shared" ref="CC52" ca="1" si="1396">X52*X53</f>
        <v>485.0169599574478</v>
      </c>
      <c r="CD52" s="17">
        <f t="shared" ref="CD52" ca="1" si="1397">Y52*Y53</f>
        <v>552.91933435149053</v>
      </c>
      <c r="CE52" s="17">
        <f t="shared" ref="CE52" ca="1" si="1398">Z52*Z53</f>
        <v>628.58198010485251</v>
      </c>
      <c r="CF52" s="17">
        <f t="shared" ref="CF52" ca="1" si="1399">AA52*AA53</f>
        <v>712.8119654389028</v>
      </c>
      <c r="CG52" s="17">
        <f t="shared" ref="CG52" ca="1" si="1400">AB52*AB53</f>
        <v>806.49582375373018</v>
      </c>
      <c r="CH52" s="17">
        <f t="shared" ref="CH52" ca="1" si="1401">AC52*AC53</f>
        <v>910.60710282012076</v>
      </c>
      <c r="CI52" s="17">
        <f t="shared" ref="CI52" ca="1" si="1402">AD52*AD53</f>
        <v>1026.2146132651101</v>
      </c>
      <c r="CJ52" s="17">
        <f t="shared" ref="CJ52" ca="1" si="1403">AE52*AE53</f>
        <v>1154.4914399232484</v>
      </c>
      <c r="CK52" s="17">
        <f t="shared" ref="CK52" ca="1" si="1404">AF52*AF53</f>
        <v>1246.8507551171087</v>
      </c>
      <c r="CL52" s="17">
        <f t="shared" ref="CL52" ca="1" si="1405">AG52*AG53</f>
        <v>1880.5449031515309</v>
      </c>
      <c r="CM52" s="17">
        <f t="shared" ref="CM52" ca="1" si="1406">AH52*AH53</f>
        <v>2812.9547125115623</v>
      </c>
      <c r="CN52" s="95" t="str">
        <f t="shared" ca="1" si="1294"/>
        <v xml:space="preserve">7.9 9.1 10.9 13.2 15.7 18.6 20.3 22.6 24.6 26.5 28.5 32.5 37 42.3 48.2 54.8 62.2 70.3 79.4 89.5 100.7 108.7 164 245.3 </v>
      </c>
      <c r="CO52" s="96">
        <f ca="1">ROUND(BP52*(1-AQ52)*(1-$AK52)/8.76*(1+CO$2),1)</f>
        <v>7.9</v>
      </c>
      <c r="CP52" s="96">
        <f t="shared" ca="1" si="1295"/>
        <v>9.1</v>
      </c>
      <c r="CQ52" s="96">
        <f t="shared" ca="1" si="1296"/>
        <v>10.9</v>
      </c>
      <c r="CR52" s="96">
        <f t="shared" ca="1" si="1297"/>
        <v>13.2</v>
      </c>
      <c r="CS52" s="96">
        <f t="shared" ca="1" si="1298"/>
        <v>15.7</v>
      </c>
      <c r="CT52" s="96">
        <f t="shared" ca="1" si="1299"/>
        <v>18.600000000000001</v>
      </c>
      <c r="CU52" s="96">
        <f t="shared" ca="1" si="1300"/>
        <v>20.3</v>
      </c>
      <c r="CV52" s="96">
        <f t="shared" ca="1" si="1301"/>
        <v>22.6</v>
      </c>
      <c r="CW52" s="96">
        <f t="shared" ca="1" si="1302"/>
        <v>24.6</v>
      </c>
      <c r="CX52" s="96">
        <f t="shared" ca="1" si="1303"/>
        <v>26.5</v>
      </c>
      <c r="CY52" s="96">
        <f t="shared" ca="1" si="1304"/>
        <v>28.5</v>
      </c>
      <c r="CZ52" s="96">
        <f t="shared" ca="1" si="1305"/>
        <v>32.5</v>
      </c>
      <c r="DA52" s="96">
        <f t="shared" ca="1" si="1306"/>
        <v>37</v>
      </c>
      <c r="DB52" s="96">
        <f t="shared" ca="1" si="1307"/>
        <v>42.3</v>
      </c>
      <c r="DC52" s="96">
        <f t="shared" ca="1" si="1308"/>
        <v>48.2</v>
      </c>
      <c r="DD52" s="96">
        <f t="shared" ca="1" si="1309"/>
        <v>54.8</v>
      </c>
      <c r="DE52" s="96">
        <f t="shared" ca="1" si="1310"/>
        <v>62.2</v>
      </c>
      <c r="DF52" s="96">
        <f t="shared" ca="1" si="1311"/>
        <v>70.3</v>
      </c>
      <c r="DG52" s="96">
        <f t="shared" ca="1" si="1312"/>
        <v>79.400000000000006</v>
      </c>
      <c r="DH52" s="96">
        <f t="shared" ca="1" si="1313"/>
        <v>89.5</v>
      </c>
      <c r="DI52" s="96">
        <f t="shared" ca="1" si="1314"/>
        <v>100.7</v>
      </c>
      <c r="DJ52" s="96">
        <f t="shared" ca="1" si="1315"/>
        <v>108.7</v>
      </c>
      <c r="DK52" s="96">
        <f t="shared" ca="1" si="1316"/>
        <v>164</v>
      </c>
      <c r="DL52" s="96">
        <f t="shared" ca="1" si="1317"/>
        <v>245.3</v>
      </c>
      <c r="DM52" s="95" t="str">
        <f t="shared" si="1318"/>
        <v xml:space="preserve">0.75 0.755 0.76 0.765 0.77 0.775 0.78 0.785 0.79 0.795 0.8 0.8 0.8 0.8 0.8 0.8 0.8 0.8 0.8 0.8 0.8 0.8 0.8 0.8 </v>
      </c>
      <c r="DN52" s="91">
        <f t="shared" si="1383"/>
        <v>0.75</v>
      </c>
      <c r="DO52" s="91">
        <f t="shared" si="1319"/>
        <v>0.755</v>
      </c>
      <c r="DP52" s="91">
        <f t="shared" si="1319"/>
        <v>0.76</v>
      </c>
      <c r="DQ52" s="91">
        <f t="shared" si="1319"/>
        <v>0.76500000000000001</v>
      </c>
      <c r="DR52" s="91">
        <f t="shared" si="1319"/>
        <v>0.77</v>
      </c>
      <c r="DS52" s="91">
        <f t="shared" si="1319"/>
        <v>0.77500000000000002</v>
      </c>
      <c r="DT52" s="91">
        <f t="shared" si="1319"/>
        <v>0.78</v>
      </c>
      <c r="DU52" s="91">
        <f t="shared" si="1319"/>
        <v>0.78500000000000003</v>
      </c>
      <c r="DV52" s="91">
        <f t="shared" si="1319"/>
        <v>0.79</v>
      </c>
      <c r="DW52" s="91">
        <f t="shared" si="1319"/>
        <v>0.79500000000000004</v>
      </c>
      <c r="DX52" s="91">
        <f t="shared" si="1319"/>
        <v>0.8</v>
      </c>
      <c r="DY52" s="91">
        <f t="shared" si="1319"/>
        <v>0.8</v>
      </c>
      <c r="DZ52" s="91">
        <f t="shared" si="1319"/>
        <v>0.8</v>
      </c>
      <c r="EA52" s="91">
        <f t="shared" si="1319"/>
        <v>0.8</v>
      </c>
      <c r="EB52" s="91">
        <f t="shared" si="1319"/>
        <v>0.8</v>
      </c>
      <c r="EC52" s="91">
        <f t="shared" si="1319"/>
        <v>0.8</v>
      </c>
      <c r="ED52" s="91">
        <f t="shared" si="1319"/>
        <v>0.8</v>
      </c>
      <c r="EE52" s="91">
        <f t="shared" si="1320"/>
        <v>0.8</v>
      </c>
      <c r="EF52" s="91">
        <f t="shared" si="1320"/>
        <v>0.8</v>
      </c>
      <c r="EG52" s="91">
        <f t="shared" si="1320"/>
        <v>0.8</v>
      </c>
      <c r="EH52" s="91">
        <f t="shared" si="1320"/>
        <v>0.8</v>
      </c>
      <c r="EI52" s="91">
        <f t="shared" si="1320"/>
        <v>0.8</v>
      </c>
      <c r="EJ52" s="91">
        <f t="shared" si="1320"/>
        <v>0.8</v>
      </c>
      <c r="EK52" s="91">
        <f t="shared" si="1320"/>
        <v>0.8</v>
      </c>
    </row>
    <row r="53" spans="1:141" x14ac:dyDescent="0.25">
      <c r="A53" t="str">
        <f t="shared" si="17"/>
        <v>TAN</v>
      </c>
      <c r="C53" t="str">
        <f>IFERROR(VLOOKUP(D53,PoolPlan_EnergyProj!$C$89:$D$100,2,FALSE),C52)</f>
        <v>TAN</v>
      </c>
      <c r="D53" t="s">
        <v>151</v>
      </c>
      <c r="K53" s="17">
        <f ca="1">OFFSET(PoolPlan_EnergyProj!$B$6,MATCH(K49,PoolPlan_EnergyProj!$B$7:$B$30),MATCH($C53,PoolPlan_EnergyProj!$C$1:$N$1,0))</f>
        <v>4820</v>
      </c>
      <c r="L53" s="17">
        <f ca="1">OFFSET(PoolPlan_EnergyProj!$B$6,MATCH(L49,PoolPlan_EnergyProj!$B$7:$B$30),MATCH($C53,PoolPlan_EnergyProj!$C$1:$N$1,0))</f>
        <v>5021</v>
      </c>
      <c r="M53" s="17">
        <f ca="1">OFFSET(PoolPlan_EnergyProj!$B$6,MATCH(M49,PoolPlan_EnergyProj!$B$7:$B$30),MATCH($C53,PoolPlan_EnergyProj!$C$1:$N$1,0))</f>
        <v>5472.89</v>
      </c>
      <c r="N53" s="17">
        <f ca="1">OFFSET(PoolPlan_EnergyProj!$B$6,MATCH(N49,PoolPlan_EnergyProj!$B$7:$B$30),MATCH($C53,PoolPlan_EnergyProj!$C$1:$N$1,0))</f>
        <v>6074.9079000000011</v>
      </c>
      <c r="O53" s="17">
        <f ca="1">OFFSET(PoolPlan_EnergyProj!$B$6,MATCH(O49,PoolPlan_EnergyProj!$B$7:$B$30),MATCH($C53,PoolPlan_EnergyProj!$C$1:$N$1,0))</f>
        <v>6682.3986900000018</v>
      </c>
      <c r="P53" s="17">
        <f ca="1">OFFSET(PoolPlan_EnergyProj!$B$6,MATCH(P49,PoolPlan_EnergyProj!$B$7:$B$30),MATCH($C53,PoolPlan_EnergyProj!$C$1:$N$1,0))</f>
        <v>7350.6385590000027</v>
      </c>
      <c r="Q53" s="17">
        <f ca="1">OFFSET(PoolPlan_EnergyProj!$B$6,MATCH(Q49,PoolPlan_EnergyProj!$B$7:$B$30),MATCH($C53,PoolPlan_EnergyProj!$C$1:$N$1,0))</f>
        <v>7938.689643720003</v>
      </c>
      <c r="R53" s="17">
        <f ca="1">OFFSET(PoolPlan_EnergyProj!$B$6,MATCH(R49,PoolPlan_EnergyProj!$B$7:$B$30),MATCH($C53,PoolPlan_EnergyProj!$C$1:$N$1,0))</f>
        <v>8811.9455045292034</v>
      </c>
      <c r="S53" s="17">
        <f ca="1">OFFSET(PoolPlan_EnergyProj!$B$6,MATCH(S49,PoolPlan_EnergyProj!$B$7:$B$30),MATCH($C53,PoolPlan_EnergyProj!$C$1:$N$1,0))</f>
        <v>9516.9011448915408</v>
      </c>
      <c r="T53" s="17">
        <f ca="1">OFFSET(PoolPlan_EnergyProj!$B$6,MATCH(T49,PoolPlan_EnergyProj!$B$7:$B$30),MATCH($C53,PoolPlan_EnergyProj!$C$1:$N$1,0))</f>
        <v>10183.084225033948</v>
      </c>
      <c r="U53" s="17">
        <f ca="1">OFFSET(PoolPlan_EnergyProj!$B$6,MATCH(U49,PoolPlan_EnergyProj!$B$7:$B$30),MATCH($C53,PoolPlan_EnergyProj!$C$1:$N$1,0))</f>
        <v>10895.900120786326</v>
      </c>
      <c r="V53" s="17">
        <f ca="1">OFFSET(PoolPlan_EnergyProj!$B$6,MATCH(V49,PoolPlan_EnergyProj!$B$7:$B$30),MATCH($C53,PoolPlan_EnergyProj!$C$1:$N$1,0))</f>
        <v>11658.613129241368</v>
      </c>
      <c r="W53" s="17">
        <f ca="1">OFFSET(PoolPlan_EnergyProj!$B$6,MATCH(W49,PoolPlan_EnergyProj!$B$7:$B$30),MATCH($C53,PoolPlan_EnergyProj!$C$1:$N$1,0))</f>
        <v>12474.716048288265</v>
      </c>
      <c r="X53" s="17">
        <f ca="1">OFFSET(PoolPlan_EnergyProj!$B$6,MATCH(X49,PoolPlan_EnergyProj!$B$7:$B$30),MATCH($C53,PoolPlan_EnergyProj!$C$1:$N$1,0))</f>
        <v>13472.693332151326</v>
      </c>
      <c r="Y53" s="17">
        <f ca="1">OFFSET(PoolPlan_EnergyProj!$B$6,MATCH(Y49,PoolPlan_EnergyProj!$B$7:$B$30),MATCH($C53,PoolPlan_EnergyProj!$C$1:$N$1,0))</f>
        <v>14550.508798723433</v>
      </c>
      <c r="Z53" s="17">
        <f ca="1">OFFSET(PoolPlan_EnergyProj!$B$6,MATCH(Z49,PoolPlan_EnergyProj!$B$7:$B$30),MATCH($C53,PoolPlan_EnergyProj!$C$1:$N$1,0))</f>
        <v>15714.549502621308</v>
      </c>
      <c r="AA53" s="17">
        <f ca="1">OFFSET(PoolPlan_EnergyProj!$B$6,MATCH(AA49,PoolPlan_EnergyProj!$B$7:$B$30),MATCH($C53,PoolPlan_EnergyProj!$C$1:$N$1,0))</f>
        <v>16971.713462831016</v>
      </c>
      <c r="AB53" s="17">
        <f ca="1">OFFSET(PoolPlan_EnergyProj!$B$6,MATCH(AB49,PoolPlan_EnergyProj!$B$7:$B$30),MATCH($C53,PoolPlan_EnergyProj!$C$1:$N$1,0))</f>
        <v>18329.450539857498</v>
      </c>
      <c r="AC53" s="17">
        <f ca="1">OFFSET(PoolPlan_EnergyProj!$B$6,MATCH(AC49,PoolPlan_EnergyProj!$B$7:$B$30),MATCH($C53,PoolPlan_EnergyProj!$C$1:$N$1,0))</f>
        <v>19795.806583046098</v>
      </c>
      <c r="AD53" s="17">
        <f ca="1">OFFSET(PoolPlan_EnergyProj!$B$6,MATCH(AD49,PoolPlan_EnergyProj!$B$7:$B$30),MATCH($C53,PoolPlan_EnergyProj!$C$1:$N$1,0))</f>
        <v>21379.471109689788</v>
      </c>
      <c r="AE53" s="17">
        <f ca="1">OFFSET(PoolPlan_EnergyProj!$B$6,MATCH(AE49,PoolPlan_EnergyProj!$B$7:$B$30),MATCH($C53,PoolPlan_EnergyProj!$C$1:$N$1,0))</f>
        <v>23089.828798464969</v>
      </c>
      <c r="AF53" s="17">
        <f ca="1">OFFSET(PoolPlan_EnergyProj!$B$6,MATCH(AF49,PoolPlan_EnergyProj!$B$7:$B$30),MATCH($C53,PoolPlan_EnergyProj!$C$1:$N$1,0))</f>
        <v>24937.015102342171</v>
      </c>
      <c r="AG53" s="17">
        <f ca="1">OFFSET(PoolPlan_EnergyProj!$B$6,MATCH(AG49,PoolPlan_EnergyProj!$B$7:$B$30),MATCH($C53,PoolPlan_EnergyProj!$C$1:$N$1,0))</f>
        <v>37610.898063030618</v>
      </c>
      <c r="AH53" s="17">
        <f ca="1">OFFSET(PoolPlan_EnergyProj!$B$6,MATCH(AH49,PoolPlan_EnergyProj!$B$7:$B$30),MATCH($C53,PoolPlan_EnergyProj!$C$1:$N$1,0))</f>
        <v>56259.094250231246</v>
      </c>
      <c r="BP53" s="17">
        <f ca="1">SUM(BP50:BP52)</f>
        <v>4820</v>
      </c>
      <c r="BQ53" s="17">
        <f t="shared" ref="BQ53:CM53" ca="1" si="1407">SUM(BQ50:BQ52)</f>
        <v>5021</v>
      </c>
      <c r="BR53" s="17">
        <f t="shared" ca="1" si="1407"/>
        <v>5472.8900000000012</v>
      </c>
      <c r="BS53" s="17">
        <f t="shared" ca="1" si="1407"/>
        <v>6074.9079000000011</v>
      </c>
      <c r="BT53" s="17">
        <f t="shared" ca="1" si="1407"/>
        <v>6682.3986900000018</v>
      </c>
      <c r="BU53" s="17">
        <f t="shared" ca="1" si="1407"/>
        <v>7350.6385590000027</v>
      </c>
      <c r="BV53" s="17">
        <f t="shared" ca="1" si="1407"/>
        <v>7938.689643720003</v>
      </c>
      <c r="BW53" s="17">
        <f t="shared" ca="1" si="1407"/>
        <v>8811.9455045292034</v>
      </c>
      <c r="BX53" s="17">
        <f t="shared" ca="1" si="1407"/>
        <v>9516.9011448915408</v>
      </c>
      <c r="BY53" s="17">
        <f t="shared" ca="1" si="1407"/>
        <v>10183.084225033948</v>
      </c>
      <c r="BZ53" s="17">
        <f t="shared" ca="1" si="1407"/>
        <v>10895.900120786324</v>
      </c>
      <c r="CA53" s="17">
        <f t="shared" ca="1" si="1407"/>
        <v>11658.613129241367</v>
      </c>
      <c r="CB53" s="17">
        <f t="shared" ca="1" si="1407"/>
        <v>12474.716048288265</v>
      </c>
      <c r="CC53" s="17">
        <f t="shared" ca="1" si="1407"/>
        <v>13472.693332151324</v>
      </c>
      <c r="CD53" s="17">
        <f t="shared" ca="1" si="1407"/>
        <v>14550.508798723431</v>
      </c>
      <c r="CE53" s="17">
        <f t="shared" ca="1" si="1407"/>
        <v>15714.549502621307</v>
      </c>
      <c r="CF53" s="17">
        <f t="shared" ca="1" si="1407"/>
        <v>16971.713462831012</v>
      </c>
      <c r="CG53" s="17">
        <f t="shared" ca="1" si="1407"/>
        <v>18329.450539857495</v>
      </c>
      <c r="CH53" s="17">
        <f t="shared" ca="1" si="1407"/>
        <v>19795.806583046098</v>
      </c>
      <c r="CI53" s="17">
        <f t="shared" ca="1" si="1407"/>
        <v>21379.471109689788</v>
      </c>
      <c r="CJ53" s="17">
        <f t="shared" ca="1" si="1407"/>
        <v>23089.828798464969</v>
      </c>
      <c r="CK53" s="17">
        <f t="shared" ca="1" si="1407"/>
        <v>24937.015102342168</v>
      </c>
      <c r="CL53" s="17">
        <f t="shared" ca="1" si="1407"/>
        <v>37610.898063030618</v>
      </c>
      <c r="CM53" s="17">
        <f t="shared" ca="1" si="1407"/>
        <v>56259.094250231239</v>
      </c>
    </row>
    <row r="54" spans="1:141" x14ac:dyDescent="0.25">
      <c r="A54" t="str">
        <f t="shared" si="17"/>
        <v>ZAM</v>
      </c>
      <c r="C54" t="str">
        <f>IFERROR(VLOOKUP(D54,PoolPlan_EnergyProj!$C$89:$D$100,2,FALSE),C53)</f>
        <v>ZAM</v>
      </c>
      <c r="D54" s="93" t="s">
        <v>23</v>
      </c>
      <c r="E54">
        <v>2010</v>
      </c>
      <c r="F54">
        <v>2015</v>
      </c>
      <c r="G54">
        <v>2020</v>
      </c>
      <c r="H54">
        <v>2030</v>
      </c>
      <c r="I54">
        <f>I49</f>
        <v>2050</v>
      </c>
      <c r="K54">
        <v>2010</v>
      </c>
      <c r="L54">
        <f>K54+1</f>
        <v>2011</v>
      </c>
      <c r="M54">
        <f t="shared" ref="M54:AF54" si="1408">L54+1</f>
        <v>2012</v>
      </c>
      <c r="N54">
        <f t="shared" si="1408"/>
        <v>2013</v>
      </c>
      <c r="O54">
        <f t="shared" si="1408"/>
        <v>2014</v>
      </c>
      <c r="P54">
        <f t="shared" si="1408"/>
        <v>2015</v>
      </c>
      <c r="Q54">
        <f t="shared" si="1408"/>
        <v>2016</v>
      </c>
      <c r="R54">
        <f t="shared" si="1408"/>
        <v>2017</v>
      </c>
      <c r="S54">
        <f t="shared" si="1408"/>
        <v>2018</v>
      </c>
      <c r="T54">
        <f t="shared" si="1408"/>
        <v>2019</v>
      </c>
      <c r="U54">
        <f t="shared" si="1408"/>
        <v>2020</v>
      </c>
      <c r="V54">
        <f t="shared" si="1408"/>
        <v>2021</v>
      </c>
      <c r="W54">
        <f t="shared" si="1408"/>
        <v>2022</v>
      </c>
      <c r="X54">
        <f t="shared" si="1408"/>
        <v>2023</v>
      </c>
      <c r="Y54">
        <f t="shared" si="1408"/>
        <v>2024</v>
      </c>
      <c r="Z54">
        <f t="shared" si="1408"/>
        <v>2025</v>
      </c>
      <c r="AA54">
        <f t="shared" si="1408"/>
        <v>2026</v>
      </c>
      <c r="AB54">
        <f t="shared" si="1408"/>
        <v>2027</v>
      </c>
      <c r="AC54">
        <f t="shared" si="1408"/>
        <v>2028</v>
      </c>
      <c r="AD54">
        <f t="shared" si="1408"/>
        <v>2029</v>
      </c>
      <c r="AE54">
        <f t="shared" si="1408"/>
        <v>2030</v>
      </c>
      <c r="AF54">
        <f t="shared" si="1408"/>
        <v>2031</v>
      </c>
      <c r="AG54">
        <v>2040</v>
      </c>
      <c r="AH54">
        <v>2050</v>
      </c>
      <c r="AL54">
        <f>E54</f>
        <v>2010</v>
      </c>
      <c r="AM54">
        <f>G54</f>
        <v>2020</v>
      </c>
      <c r="AN54">
        <f>H54</f>
        <v>2030</v>
      </c>
      <c r="AO54">
        <f>I54</f>
        <v>2050</v>
      </c>
      <c r="AQ54">
        <v>2010</v>
      </c>
      <c r="AR54">
        <f>AQ54+1</f>
        <v>2011</v>
      </c>
      <c r="AS54">
        <f t="shared" ref="AS54:BL54" si="1409">AR54+1</f>
        <v>2012</v>
      </c>
      <c r="AT54">
        <f t="shared" si="1409"/>
        <v>2013</v>
      </c>
      <c r="AU54">
        <f t="shared" si="1409"/>
        <v>2014</v>
      </c>
      <c r="AV54">
        <f t="shared" si="1409"/>
        <v>2015</v>
      </c>
      <c r="AW54">
        <f t="shared" si="1409"/>
        <v>2016</v>
      </c>
      <c r="AX54">
        <f t="shared" si="1409"/>
        <v>2017</v>
      </c>
      <c r="AY54">
        <f t="shared" si="1409"/>
        <v>2018</v>
      </c>
      <c r="AZ54">
        <f t="shared" si="1409"/>
        <v>2019</v>
      </c>
      <c r="BA54">
        <f t="shared" si="1409"/>
        <v>2020</v>
      </c>
      <c r="BB54">
        <f t="shared" si="1409"/>
        <v>2021</v>
      </c>
      <c r="BC54">
        <f t="shared" si="1409"/>
        <v>2022</v>
      </c>
      <c r="BD54">
        <f t="shared" si="1409"/>
        <v>2023</v>
      </c>
      <c r="BE54">
        <f t="shared" si="1409"/>
        <v>2024</v>
      </c>
      <c r="BF54">
        <f t="shared" si="1409"/>
        <v>2025</v>
      </c>
      <c r="BG54">
        <f t="shared" si="1409"/>
        <v>2026</v>
      </c>
      <c r="BH54">
        <f t="shared" si="1409"/>
        <v>2027</v>
      </c>
      <c r="BI54">
        <f t="shared" si="1409"/>
        <v>2028</v>
      </c>
      <c r="BJ54">
        <f t="shared" si="1409"/>
        <v>2029</v>
      </c>
      <c r="BK54">
        <f t="shared" si="1409"/>
        <v>2030</v>
      </c>
      <c r="BL54">
        <f t="shared" si="1409"/>
        <v>2031</v>
      </c>
      <c r="BM54">
        <v>2040</v>
      </c>
      <c r="BN54">
        <v>2050</v>
      </c>
      <c r="BP54">
        <f>AQ54</f>
        <v>2010</v>
      </c>
      <c r="BQ54">
        <f t="shared" ref="BQ54:CM54" si="1410">AR54</f>
        <v>2011</v>
      </c>
      <c r="BR54">
        <f t="shared" si="1410"/>
        <v>2012</v>
      </c>
      <c r="BS54">
        <f t="shared" si="1410"/>
        <v>2013</v>
      </c>
      <c r="BT54">
        <f t="shared" si="1410"/>
        <v>2014</v>
      </c>
      <c r="BU54">
        <f t="shared" si="1410"/>
        <v>2015</v>
      </c>
      <c r="BV54">
        <f t="shared" si="1410"/>
        <v>2016</v>
      </c>
      <c r="BW54">
        <f t="shared" si="1410"/>
        <v>2017</v>
      </c>
      <c r="BX54">
        <f t="shared" si="1410"/>
        <v>2018</v>
      </c>
      <c r="BY54">
        <f t="shared" si="1410"/>
        <v>2019</v>
      </c>
      <c r="BZ54">
        <f t="shared" si="1410"/>
        <v>2020</v>
      </c>
      <c r="CA54">
        <f t="shared" si="1410"/>
        <v>2021</v>
      </c>
      <c r="CB54">
        <f t="shared" si="1410"/>
        <v>2022</v>
      </c>
      <c r="CC54">
        <f t="shared" si="1410"/>
        <v>2023</v>
      </c>
      <c r="CD54">
        <f t="shared" si="1410"/>
        <v>2024</v>
      </c>
      <c r="CE54">
        <f t="shared" si="1410"/>
        <v>2025</v>
      </c>
      <c r="CF54">
        <f t="shared" si="1410"/>
        <v>2026</v>
      </c>
      <c r="CG54">
        <f t="shared" si="1410"/>
        <v>2027</v>
      </c>
      <c r="CH54">
        <f t="shared" si="1410"/>
        <v>2028</v>
      </c>
      <c r="CI54">
        <f t="shared" si="1410"/>
        <v>2029</v>
      </c>
      <c r="CJ54">
        <f t="shared" si="1410"/>
        <v>2030</v>
      </c>
      <c r="CK54">
        <f t="shared" si="1410"/>
        <v>2031</v>
      </c>
      <c r="CL54">
        <f t="shared" si="1410"/>
        <v>2040</v>
      </c>
      <c r="CM54">
        <f t="shared" si="1410"/>
        <v>2050</v>
      </c>
      <c r="CO54">
        <f>BP54</f>
        <v>2010</v>
      </c>
      <c r="CP54">
        <f t="shared" ref="CP54:DD54" si="1411">BQ54</f>
        <v>2011</v>
      </c>
      <c r="CQ54">
        <f t="shared" si="1411"/>
        <v>2012</v>
      </c>
      <c r="CR54">
        <f t="shared" si="1411"/>
        <v>2013</v>
      </c>
      <c r="CS54">
        <f t="shared" si="1411"/>
        <v>2014</v>
      </c>
      <c r="CT54">
        <f t="shared" si="1411"/>
        <v>2015</v>
      </c>
      <c r="CU54">
        <f t="shared" si="1411"/>
        <v>2016</v>
      </c>
      <c r="CV54">
        <f t="shared" si="1411"/>
        <v>2017</v>
      </c>
      <c r="CW54">
        <f t="shared" si="1411"/>
        <v>2018</v>
      </c>
      <c r="CX54">
        <f t="shared" si="1411"/>
        <v>2019</v>
      </c>
      <c r="CY54">
        <f t="shared" si="1411"/>
        <v>2020</v>
      </c>
      <c r="CZ54">
        <f t="shared" si="1411"/>
        <v>2021</v>
      </c>
      <c r="DA54">
        <f t="shared" si="1411"/>
        <v>2022</v>
      </c>
      <c r="DB54">
        <f t="shared" si="1411"/>
        <v>2023</v>
      </c>
      <c r="DC54">
        <f t="shared" si="1411"/>
        <v>2024</v>
      </c>
      <c r="DD54">
        <f t="shared" si="1411"/>
        <v>2025</v>
      </c>
      <c r="DE54">
        <f>CF54</f>
        <v>2026</v>
      </c>
      <c r="DF54">
        <f t="shared" ref="DF54:DG54" si="1412">CG54</f>
        <v>2027</v>
      </c>
      <c r="DG54">
        <f t="shared" si="1412"/>
        <v>2028</v>
      </c>
      <c r="DH54">
        <f>CI54</f>
        <v>2029</v>
      </c>
      <c r="DI54">
        <f t="shared" ref="DI54" si="1413">CJ54</f>
        <v>2030</v>
      </c>
      <c r="DJ54">
        <f>CK54</f>
        <v>2031</v>
      </c>
      <c r="DK54">
        <f>CL54</f>
        <v>2040</v>
      </c>
      <c r="DL54">
        <f t="shared" ref="DL54" si="1414">CM54</f>
        <v>2050</v>
      </c>
    </row>
    <row r="55" spans="1:141" x14ac:dyDescent="0.25">
      <c r="A55" t="str">
        <f t="shared" si="17"/>
        <v>IndustryZAM</v>
      </c>
      <c r="B55" t="str">
        <f t="shared" ref="B55:B57" si="1415">B50</f>
        <v>Industry</v>
      </c>
      <c r="C55" t="str">
        <f>IFERROR(VLOOKUP(D55,PoolPlan_EnergyProj!$C$89:$D$100,2,FALSE),C54)</f>
        <v>ZAM</v>
      </c>
      <c r="D55" t="s">
        <v>146</v>
      </c>
      <c r="E55" s="91">
        <v>0.6</v>
      </c>
      <c r="F55" s="91">
        <v>0.61</v>
      </c>
      <c r="G55" s="91">
        <v>0.65</v>
      </c>
      <c r="H55" s="91">
        <v>0.65</v>
      </c>
      <c r="I55" s="91">
        <v>0.65</v>
      </c>
      <c r="K55" s="91">
        <f>E55</f>
        <v>0.6</v>
      </c>
      <c r="L55" s="91">
        <f>($P55-$K55)/($P$4-$K$4)+K55</f>
        <v>0.60199999999999998</v>
      </c>
      <c r="M55" s="91">
        <f t="shared" ref="M55:O55" si="1416">($P55-$K55)/($P$4-$K$4)+L55</f>
        <v>0.60399999999999998</v>
      </c>
      <c r="N55" s="91">
        <f t="shared" si="1416"/>
        <v>0.60599999999999998</v>
      </c>
      <c r="O55" s="91">
        <f t="shared" si="1416"/>
        <v>0.60799999999999998</v>
      </c>
      <c r="P55" s="91">
        <f>F55</f>
        <v>0.61</v>
      </c>
      <c r="Q55" s="91">
        <f>($U55-$P55)/($U$4-$P$4)+P55</f>
        <v>0.61799999999999999</v>
      </c>
      <c r="R55" s="91">
        <f t="shared" ref="R55:T55" si="1417">($U55-$P55)/($U$4-$P$4)+Q55</f>
        <v>0.626</v>
      </c>
      <c r="S55" s="91">
        <f t="shared" si="1417"/>
        <v>0.63400000000000001</v>
      </c>
      <c r="T55" s="91">
        <f t="shared" si="1417"/>
        <v>0.64200000000000002</v>
      </c>
      <c r="U55" s="91">
        <f>G55</f>
        <v>0.65</v>
      </c>
      <c r="V55" s="91">
        <f>(AE55-U55)/(AE$4-U$4)+U55</f>
        <v>0.65</v>
      </c>
      <c r="W55" s="91">
        <f>(AE55-U55)/(AE$4-U$4)+V55</f>
        <v>0.65</v>
      </c>
      <c r="X55" s="91">
        <f>(AE55-U55)/(AE$4-U$4)+W55</f>
        <v>0.65</v>
      </c>
      <c r="Y55" s="91">
        <f>(AE55-U55)/(AE$4-U$4)+X55</f>
        <v>0.65</v>
      </c>
      <c r="Z55" s="91">
        <f>(AE55-U55)/(AE$4-U$4)+Y55</f>
        <v>0.65</v>
      </c>
      <c r="AA55" s="91">
        <f>(AE55-U55)/(AE$4-U$4)+Z55</f>
        <v>0.65</v>
      </c>
      <c r="AB55" s="91">
        <f>(AE55-U55)/(AE$4-U$4)+AA55</f>
        <v>0.65</v>
      </c>
      <c r="AC55" s="91">
        <f>(AE55-U55)/(AE$4-U$4)+AB55</f>
        <v>0.65</v>
      </c>
      <c r="AD55" s="91">
        <f>(AE55-U55)/(AE$4-U$4)+AC55</f>
        <v>0.65</v>
      </c>
      <c r="AE55" s="91">
        <f>H55</f>
        <v>0.65</v>
      </c>
      <c r="AF55" s="91">
        <f>(AH55-AE55)/(AH$4-AE$4)+AE55</f>
        <v>0.65</v>
      </c>
      <c r="AG55" s="91">
        <f>(AE55+AH55)/2</f>
        <v>0.65</v>
      </c>
      <c r="AH55" s="91">
        <f>I55</f>
        <v>0.65</v>
      </c>
      <c r="AJ55" s="94">
        <f>SUMIF(AR2008_Stats!$A$18:$A$29,C55,AR2008_Stats!$T$18:$T$29)</f>
        <v>0.18740000000000001</v>
      </c>
      <c r="AK55" s="91">
        <f>SUMIF(AR2008_Stats!$A$18:$A$29,C55,AR2008_Stats!$R$18:$R$29)</f>
        <v>4.3999999999999997E-2</v>
      </c>
      <c r="AL55" s="83">
        <v>0.04</v>
      </c>
      <c r="AM55" s="91">
        <v>0.03</v>
      </c>
      <c r="AN55" s="91">
        <v>0.02</v>
      </c>
      <c r="AO55" s="91">
        <v>0.01</v>
      </c>
      <c r="AP55" s="95" t="str">
        <f>AQ55&amp;" "&amp;AR55&amp;" "&amp;AS55&amp;" "&amp;AT55&amp;" "&amp;AU55&amp;" "&amp;AV55&amp;" "&amp;AW55&amp;" "&amp;AX55&amp;" "&amp;AY55&amp;" "&amp;AZ55&amp;" "&amp;BA55&amp;" "&amp;BB55&amp;" "&amp;BC55&amp;" "&amp;BD55&amp;" "&amp;BE55&amp;" "&amp;BF55&amp;" "&amp;BG55&amp;" "&amp;BH55&amp;" "&amp;BI55&amp;" "&amp;BJ55&amp;" "&amp;BK55&amp;" "&amp;BL55&amp;" "&amp;BM55&amp;" "&amp;BN55&amp;" "</f>
        <v xml:space="preserve">0.04 0.039 0.038 0.037 0.036 0.035 0.034 0.033 0.032 0.031 0.03 0.029 0.028 0.027 0.026 0.025 0.024 0.023 0.022 0.021 0.02 0.0195 0.015 0.01 </v>
      </c>
      <c r="AQ55" s="91">
        <f>AL55</f>
        <v>0.04</v>
      </c>
      <c r="AR55" s="91">
        <f>(BA55-AQ55)/(BA$4-AQ$4)+AQ55</f>
        <v>3.9E-2</v>
      </c>
      <c r="AS55" s="91">
        <f>(BA55-AQ55)/(BA$4-AQ$4)+AR55</f>
        <v>3.7999999999999999E-2</v>
      </c>
      <c r="AT55" s="91">
        <f>(BA55-AQ55)/(BA$4-AQ$4)+AS55</f>
        <v>3.6999999999999998E-2</v>
      </c>
      <c r="AU55" s="91">
        <f>(BA55-AQ55)/(BA$4-AQ$4)+AT55</f>
        <v>3.5999999999999997E-2</v>
      </c>
      <c r="AV55" s="91">
        <f>(BA55-AQ55)/(BA$4-AQ$4)+AU55</f>
        <v>3.4999999999999996E-2</v>
      </c>
      <c r="AW55" s="91">
        <f>(BA55-AQ55)/(BA$4-AQ$4)+AV55</f>
        <v>3.3999999999999996E-2</v>
      </c>
      <c r="AX55" s="91">
        <f>(BA55-AQ55)/(BA$4-AQ$4)+AW55</f>
        <v>3.2999999999999995E-2</v>
      </c>
      <c r="AY55" s="91">
        <f>(BA55-AQ55)/(BA$4-AQ$4)+AX55</f>
        <v>3.1999999999999994E-2</v>
      </c>
      <c r="AZ55" s="91">
        <f>(BA55-AQ55)/(BA$4-AQ$4)+AY55</f>
        <v>3.0999999999999993E-2</v>
      </c>
      <c r="BA55" s="91">
        <f>AM55</f>
        <v>0.03</v>
      </c>
      <c r="BB55" s="91">
        <f>(BK55-BA55)/(BK$4-BA$4)+BA55</f>
        <v>2.8999999999999998E-2</v>
      </c>
      <c r="BC55" s="91">
        <f>(BK55-BA55)/(BK$4-BA$4)+BB55</f>
        <v>2.7999999999999997E-2</v>
      </c>
      <c r="BD55" s="91">
        <f>(BK55-BA55)/(BK$4-BA$4)+BC55</f>
        <v>2.6999999999999996E-2</v>
      </c>
      <c r="BE55" s="91">
        <f>(BK55-BA55)/(BK$4-BA$4)+BD55</f>
        <v>2.5999999999999995E-2</v>
      </c>
      <c r="BF55" s="91">
        <f>(BK55-BA55)/(BK$4-BA$4)+BE55</f>
        <v>2.4999999999999994E-2</v>
      </c>
      <c r="BG55" s="91">
        <f>(BK55-BA55)/(BK$4-BA$4)+BF55</f>
        <v>2.3999999999999994E-2</v>
      </c>
      <c r="BH55" s="91">
        <f>(BK55-BA55)/(BK$4-BA$4)+BG55</f>
        <v>2.2999999999999993E-2</v>
      </c>
      <c r="BI55" s="91">
        <f>(BK55-BA55)/(BK$4-BA$4)+BH55</f>
        <v>2.1999999999999992E-2</v>
      </c>
      <c r="BJ55" s="91">
        <f>(BK55-BA55)/(BK$4-BA$4)+BI55</f>
        <v>2.0999999999999991E-2</v>
      </c>
      <c r="BK55" s="91">
        <f>AN55</f>
        <v>0.02</v>
      </c>
      <c r="BL55" s="91">
        <f>(BN55-BK55)/(BN$4-BK$4)+BK55</f>
        <v>1.95E-2</v>
      </c>
      <c r="BM55" s="91">
        <f>(BK55+BN55)/2</f>
        <v>1.4999999999999999E-2</v>
      </c>
      <c r="BN55" s="91">
        <f>AO55</f>
        <v>0.01</v>
      </c>
      <c r="BP55" s="17">
        <f ca="1">K55*K58</f>
        <v>8105.4</v>
      </c>
      <c r="BQ55" s="17">
        <f t="shared" ref="BQ55" ca="1" si="1418">L55*L58</f>
        <v>8497.9199325842692</v>
      </c>
      <c r="BR55" s="17">
        <f t="shared" ref="BR55" ca="1" si="1419">M55*M58</f>
        <v>8952.4598359550582</v>
      </c>
      <c r="BS55" s="17">
        <f t="shared" ref="BS55" ca="1" si="1420">N55*N58</f>
        <v>9431.2089298314622</v>
      </c>
      <c r="BT55" s="17">
        <f t="shared" ref="BT55" ca="1" si="1421">O55*O58</f>
        <v>9935.4517835056213</v>
      </c>
      <c r="BU55" s="17">
        <f t="shared" ref="BU55" ca="1" si="1422">P55*P58</f>
        <v>10466.540900222617</v>
      </c>
      <c r="BV55" s="17">
        <f t="shared" ref="BV55" ca="1" si="1423">Q55*Q58</f>
        <v>11133.997360908947</v>
      </c>
      <c r="BW55" s="17">
        <f t="shared" ref="BW55" ca="1" si="1424">R55*R58</f>
        <v>11842.033115413349</v>
      </c>
      <c r="BX55" s="17">
        <f t="shared" ref="BX55" ca="1" si="1425">S55*S58</f>
        <v>12593.037451965922</v>
      </c>
      <c r="BY55" s="17">
        <f t="shared" ref="BY55" ca="1" si="1426">T55*T58</f>
        <v>13389.537139385218</v>
      </c>
      <c r="BZ55" s="17">
        <f t="shared" ref="BZ55" ca="1" si="1427">U55*U58</f>
        <v>14234.204201916529</v>
      </c>
      <c r="CA55" s="17">
        <f t="shared" ref="CA55" ca="1" si="1428">V55*V58</f>
        <v>14945.914412012355</v>
      </c>
      <c r="CB55" s="17">
        <f t="shared" ref="CB55" ca="1" si="1429">W55*W58</f>
        <v>15693.210132612974</v>
      </c>
      <c r="CC55" s="17">
        <f t="shared" ref="CC55" ca="1" si="1430">X55*X58</f>
        <v>16477.870639243625</v>
      </c>
      <c r="CD55" s="17">
        <f t="shared" ref="CD55" ca="1" si="1431">Y55*Y58</f>
        <v>17301.764171205807</v>
      </c>
      <c r="CE55" s="17">
        <f t="shared" ref="CE55" ca="1" si="1432">Z55*Z58</f>
        <v>18166.8523797661</v>
      </c>
      <c r="CF55" s="17">
        <f t="shared" ref="CF55" ca="1" si="1433">AA55*AA58</f>
        <v>19075.194998754407</v>
      </c>
      <c r="CG55" s="17">
        <f t="shared" ref="CG55" ca="1" si="1434">AB55*AB58</f>
        <v>20028.954748692126</v>
      </c>
      <c r="CH55" s="17">
        <f t="shared" ref="CH55" ca="1" si="1435">AC55*AC58</f>
        <v>21030.402486126732</v>
      </c>
      <c r="CI55" s="17">
        <f t="shared" ref="CI55" ca="1" si="1436">AD55*AD58</f>
        <v>22081.92261043307</v>
      </c>
      <c r="CJ55" s="17">
        <f t="shared" ref="CJ55" ca="1" si="1437">AE55*AE58</f>
        <v>23186.018740954722</v>
      </c>
      <c r="CK55" s="17">
        <f t="shared" ref="CK55" ca="1" si="1438">AF55*AF58</f>
        <v>24345.319678002463</v>
      </c>
      <c r="CL55" s="17">
        <f t="shared" ref="CL55" ca="1" si="1439">AG55*AG58</f>
        <v>37767.581343502206</v>
      </c>
      <c r="CM55" s="17">
        <f t="shared" ref="CM55" ca="1" si="1440">AH55*AH58</f>
        <v>61519.410316810689</v>
      </c>
      <c r="CN55" s="95" t="str">
        <f t="shared" ref="CN55:CN57" ca="1" si="1441">CO55&amp;" "&amp;CP55&amp;" "&amp;CQ55&amp;" "&amp;CR55&amp;" "&amp;CS55&amp;" "&amp;CT55&amp;" "&amp;CU55&amp;" "&amp;CV55&amp;" "&amp;CW55&amp;" "&amp;CX55&amp;" "&amp;CY55&amp;" "&amp;CZ55&amp;" "&amp;DA55&amp;" "&amp;DB55&amp;" "&amp;DC55&amp;" "&amp;DD55&amp;" "&amp;DE55&amp;" "&amp;DF55&amp;" "&amp;DG55&amp;" "&amp;DH55&amp;" "&amp;DI55&amp;" "&amp;DJ55&amp;" "&amp;DK55&amp;" "&amp;DL55&amp;" "</f>
        <v xml:space="preserve">849.2 891.2 939.9 991.2 1045.2 1102.3 1173.8 1249.7 1330.3 1415.9 1506.8 1583.8 1664.7 1749.7 1839.1 1933 2031.8 2135.5 2244.6 2359.2 2479.7 2605.1 4059.8 6646.6 </v>
      </c>
      <c r="CO55" s="96">
        <f ca="1">ROUND(BP55*(1-AQ55)*(1-$AK55)/8.76*(1+CO$2),1)</f>
        <v>849.2</v>
      </c>
      <c r="CP55" s="96">
        <f t="shared" ref="CP55:CP57" ca="1" si="1442">ROUND(BQ55*(1-AR55)*(1-$AK55)/8.76*(1+CP$2),1)</f>
        <v>891.2</v>
      </c>
      <c r="CQ55" s="96">
        <f t="shared" ref="CQ55:CQ57" ca="1" si="1443">ROUND(BR55*(1-AS55)*(1-$AK55)/8.76*(1+CQ$2),1)</f>
        <v>939.9</v>
      </c>
      <c r="CR55" s="96">
        <f t="shared" ref="CR55:CR57" ca="1" si="1444">ROUND(BS55*(1-AT55)*(1-$AK55)/8.76*(1+CR$2),1)</f>
        <v>991.2</v>
      </c>
      <c r="CS55" s="96">
        <f t="shared" ref="CS55:CS57" ca="1" si="1445">ROUND(BT55*(1-AU55)*(1-$AK55)/8.76*(1+CS$2),1)</f>
        <v>1045.2</v>
      </c>
      <c r="CT55" s="96">
        <f t="shared" ref="CT55:CT57" ca="1" si="1446">ROUND(BU55*(1-AV55)*(1-$AK55)/8.76*(1+CT$2),1)</f>
        <v>1102.3</v>
      </c>
      <c r="CU55" s="96">
        <f t="shared" ref="CU55:CU57" ca="1" si="1447">ROUND(BV55*(1-AW55)*(1-$AK55)/8.76*(1+CU$2),1)</f>
        <v>1173.8</v>
      </c>
      <c r="CV55" s="96">
        <f t="shared" ref="CV55:CV57" ca="1" si="1448">ROUND(BW55*(1-AX55)*(1-$AK55)/8.76*(1+CV$2),1)</f>
        <v>1249.7</v>
      </c>
      <c r="CW55" s="96">
        <f t="shared" ref="CW55:CW57" ca="1" si="1449">ROUND(BX55*(1-AY55)*(1-$AK55)/8.76*(1+CW$2),1)</f>
        <v>1330.3</v>
      </c>
      <c r="CX55" s="96">
        <f t="shared" ref="CX55:CX57" ca="1" si="1450">ROUND(BY55*(1-AZ55)*(1-$AK55)/8.76*(1+CX$2),1)</f>
        <v>1415.9</v>
      </c>
      <c r="CY55" s="96">
        <f t="shared" ref="CY55:CY57" ca="1" si="1451">ROUND(BZ55*(1-BA55)*(1-$AK55)/8.76*(1+CY$2),1)</f>
        <v>1506.8</v>
      </c>
      <c r="CZ55" s="96">
        <f t="shared" ref="CZ55:CZ57" ca="1" si="1452">ROUND(CA55*(1-BB55)*(1-$AK55)/8.76*(1+CZ$2),1)</f>
        <v>1583.8</v>
      </c>
      <c r="DA55" s="96">
        <f t="shared" ref="DA55:DA57" ca="1" si="1453">ROUND(CB55*(1-BC55)*(1-$AK55)/8.76*(1+DA$2),1)</f>
        <v>1664.7</v>
      </c>
      <c r="DB55" s="96">
        <f t="shared" ref="DB55:DB57" ca="1" si="1454">ROUND(CC55*(1-BD55)*(1-$AK55)/8.76*(1+DB$2),1)</f>
        <v>1749.7</v>
      </c>
      <c r="DC55" s="96">
        <f t="shared" ref="DC55:DC57" ca="1" si="1455">ROUND(CD55*(1-BE55)*(1-$AK55)/8.76*(1+DC$2),1)</f>
        <v>1839.1</v>
      </c>
      <c r="DD55" s="96">
        <f t="shared" ref="DD55:DD57" ca="1" si="1456">ROUND(CE55*(1-BF55)*(1-$AK55)/8.76*(1+DD$2),1)</f>
        <v>1933</v>
      </c>
      <c r="DE55" s="96">
        <f t="shared" ref="DE55:DE57" ca="1" si="1457">ROUND(CF55*(1-BG55)*(1-$AK55)/8.76*(1+DE$2),1)</f>
        <v>2031.8</v>
      </c>
      <c r="DF55" s="96">
        <f t="shared" ref="DF55:DF57" ca="1" si="1458">ROUND(CG55*(1-BH55)*(1-$AK55)/8.76*(1+DF$2),1)</f>
        <v>2135.5</v>
      </c>
      <c r="DG55" s="96">
        <f t="shared" ref="DG55:DG57" ca="1" si="1459">ROUND(CH55*(1-BI55)*(1-$AK55)/8.76*(1+DG$2),1)</f>
        <v>2244.6</v>
      </c>
      <c r="DH55" s="96">
        <f t="shared" ref="DH55:DH57" ca="1" si="1460">ROUND(CI55*(1-BJ55)*(1-$AK55)/8.76*(1+DH$2),1)</f>
        <v>2359.1999999999998</v>
      </c>
      <c r="DI55" s="96">
        <f t="shared" ref="DI55:DI57" ca="1" si="1461">ROUND(CJ55*(1-BK55)*(1-$AK55)/8.76*(1+DI$2),1)</f>
        <v>2479.6999999999998</v>
      </c>
      <c r="DJ55" s="96">
        <f t="shared" ref="DJ55:DJ57" ca="1" si="1462">ROUND(CK55*(1-BL55)*(1-$AK55)/8.76*(1+DJ$2),1)</f>
        <v>2605.1</v>
      </c>
      <c r="DK55" s="96">
        <f t="shared" ref="DK55:DK57" ca="1" si="1463">ROUND(CL55*(1-BM55)*(1-$AK55)/8.76*(1+DK$2),1)</f>
        <v>4059.8</v>
      </c>
      <c r="DL55" s="96">
        <f t="shared" ref="DL55:DL57" ca="1" si="1464">ROUND(CM55*(1-BN55)*(1-$AK55)/8.76*(1+DL$2),1)</f>
        <v>6646.6</v>
      </c>
      <c r="DM55" s="95" t="str">
        <f t="shared" ref="DM55:DM57" si="1465">DN55&amp;" "&amp;DO55&amp;" "&amp;DP55&amp;" "&amp;DQ55&amp;" "&amp;DR55&amp;" "&amp;DS55&amp;" "&amp;DT55&amp;" "&amp;DU55&amp;" "&amp;DV55&amp;" "&amp;DW55&amp;" "&amp;DX55&amp;" "&amp;DY55&amp;" "&amp;DZ55&amp;" "&amp;EA55&amp;" "&amp;EB55&amp;" "&amp;EC55&amp;" "&amp;ED55&amp;" "&amp;EE55&amp;" "&amp;EF55&amp;" "&amp;EG55&amp;" "&amp;EH55&amp;" "&amp;EI55&amp;" "&amp;EJ55&amp;" "&amp;EK55&amp;" "</f>
        <v xml:space="preserve">0.96 0.961 0.962 0.963 0.964 0.965 0.966 0.967 0.968 0.969 0.97 0.971 0.972 0.973 0.974 0.975 0.976 0.977 0.978 0.979 0.98 0.9805 0.985 0.99 </v>
      </c>
      <c r="DN55" s="91">
        <f>1-AQ55</f>
        <v>0.96</v>
      </c>
      <c r="DO55" s="91">
        <f t="shared" ref="DO55:ED57" si="1466">1-AR55</f>
        <v>0.96099999999999997</v>
      </c>
      <c r="DP55" s="91">
        <f t="shared" si="1466"/>
        <v>0.96199999999999997</v>
      </c>
      <c r="DQ55" s="91">
        <f t="shared" si="1466"/>
        <v>0.96299999999999997</v>
      </c>
      <c r="DR55" s="91">
        <f t="shared" si="1466"/>
        <v>0.96399999999999997</v>
      </c>
      <c r="DS55" s="91">
        <f t="shared" si="1466"/>
        <v>0.96499999999999997</v>
      </c>
      <c r="DT55" s="91">
        <f t="shared" si="1466"/>
        <v>0.96599999999999997</v>
      </c>
      <c r="DU55" s="91">
        <f t="shared" si="1466"/>
        <v>0.96699999999999997</v>
      </c>
      <c r="DV55" s="91">
        <f t="shared" si="1466"/>
        <v>0.96799999999999997</v>
      </c>
      <c r="DW55" s="91">
        <f t="shared" si="1466"/>
        <v>0.96899999999999997</v>
      </c>
      <c r="DX55" s="91">
        <f t="shared" si="1466"/>
        <v>0.97</v>
      </c>
      <c r="DY55" s="91">
        <f t="shared" si="1466"/>
        <v>0.97099999999999997</v>
      </c>
      <c r="DZ55" s="91">
        <f t="shared" si="1466"/>
        <v>0.97199999999999998</v>
      </c>
      <c r="EA55" s="91">
        <f t="shared" si="1466"/>
        <v>0.97299999999999998</v>
      </c>
      <c r="EB55" s="91">
        <f t="shared" si="1466"/>
        <v>0.97399999999999998</v>
      </c>
      <c r="EC55" s="91">
        <f t="shared" si="1466"/>
        <v>0.97499999999999998</v>
      </c>
      <c r="ED55" s="91">
        <f t="shared" si="1466"/>
        <v>0.97599999999999998</v>
      </c>
      <c r="EE55" s="91">
        <f t="shared" ref="EE55:EK57" si="1467">1-BH55</f>
        <v>0.97699999999999998</v>
      </c>
      <c r="EF55" s="91">
        <f t="shared" si="1467"/>
        <v>0.97799999999999998</v>
      </c>
      <c r="EG55" s="91">
        <f t="shared" si="1467"/>
        <v>0.97899999999999998</v>
      </c>
      <c r="EH55" s="91">
        <f t="shared" si="1467"/>
        <v>0.98</v>
      </c>
      <c r="EI55" s="91">
        <f t="shared" si="1467"/>
        <v>0.98050000000000004</v>
      </c>
      <c r="EJ55" s="91">
        <f t="shared" si="1467"/>
        <v>0.98499999999999999</v>
      </c>
      <c r="EK55" s="91">
        <f t="shared" si="1467"/>
        <v>0.99</v>
      </c>
    </row>
    <row r="56" spans="1:141" x14ac:dyDescent="0.25">
      <c r="A56" t="str">
        <f t="shared" si="17"/>
        <v>UrbanZAM</v>
      </c>
      <c r="B56" t="str">
        <f t="shared" si="1415"/>
        <v>Urban</v>
      </c>
      <c r="C56" t="str">
        <f>IFERROR(VLOOKUP(D56,PoolPlan_EnergyProj!$C$89:$D$100,2,FALSE),C55)</f>
        <v>ZAM</v>
      </c>
      <c r="D56" t="s">
        <v>148</v>
      </c>
      <c r="E56" s="91">
        <f>1-E55-E57</f>
        <v>0.38</v>
      </c>
      <c r="F56" s="91">
        <f>1-F55-F57</f>
        <v>0.37</v>
      </c>
      <c r="G56" s="91">
        <f t="shared" ref="G56:I56" si="1468">1-G55-G57</f>
        <v>0.3</v>
      </c>
      <c r="H56" s="91">
        <f t="shared" si="1468"/>
        <v>0.3</v>
      </c>
      <c r="I56" s="91">
        <f t="shared" si="1468"/>
        <v>0.3</v>
      </c>
      <c r="K56" s="91">
        <f t="shared" ref="K56:K57" si="1469">E56</f>
        <v>0.38</v>
      </c>
      <c r="L56" s="91">
        <f t="shared" ref="L56:O57" si="1470">($P56-$K56)/($P$4-$K$4)+K56</f>
        <v>0.378</v>
      </c>
      <c r="M56" s="91">
        <f t="shared" si="1470"/>
        <v>0.376</v>
      </c>
      <c r="N56" s="91">
        <f t="shared" si="1470"/>
        <v>0.374</v>
      </c>
      <c r="O56" s="91">
        <f t="shared" si="1470"/>
        <v>0.372</v>
      </c>
      <c r="P56" s="91">
        <f t="shared" ref="P56:P57" si="1471">F56</f>
        <v>0.37</v>
      </c>
      <c r="Q56" s="91">
        <f t="shared" ref="Q56:T57" si="1472">($U56-$P56)/($U$4-$P$4)+P56</f>
        <v>0.35599999999999998</v>
      </c>
      <c r="R56" s="91">
        <f t="shared" si="1472"/>
        <v>0.34199999999999997</v>
      </c>
      <c r="S56" s="91">
        <f t="shared" si="1472"/>
        <v>0.32799999999999996</v>
      </c>
      <c r="T56" s="91">
        <f t="shared" si="1472"/>
        <v>0.31399999999999995</v>
      </c>
      <c r="U56" s="91">
        <f t="shared" ref="U56:U57" si="1473">G56</f>
        <v>0.3</v>
      </c>
      <c r="V56" s="91">
        <f t="shared" ref="V56:V57" si="1474">(AE56-U56)/(AE$4-U$4)+U56</f>
        <v>0.3</v>
      </c>
      <c r="W56" s="91">
        <f t="shared" ref="W56:W57" si="1475">(AE56-U56)/(AE$4-U$4)+V56</f>
        <v>0.3</v>
      </c>
      <c r="X56" s="91">
        <f t="shared" ref="X56:X57" si="1476">(AE56-U56)/(AE$4-U$4)+W56</f>
        <v>0.3</v>
      </c>
      <c r="Y56" s="91">
        <f t="shared" ref="Y56:Y57" si="1477">(AE56-U56)/(AE$4-U$4)+X56</f>
        <v>0.3</v>
      </c>
      <c r="Z56" s="91">
        <f t="shared" ref="Z56:Z57" si="1478">(AE56-U56)/(AE$4-U$4)+Y56</f>
        <v>0.3</v>
      </c>
      <c r="AA56" s="91">
        <f t="shared" ref="AA56:AA57" si="1479">(AE56-U56)/(AE$4-U$4)+Z56</f>
        <v>0.3</v>
      </c>
      <c r="AB56" s="91">
        <f t="shared" ref="AB56:AB57" si="1480">(AE56-U56)/(AE$4-U$4)+AA56</f>
        <v>0.3</v>
      </c>
      <c r="AC56" s="91">
        <f t="shared" ref="AC56:AC57" si="1481">(AE56-U56)/(AE$4-U$4)+AB56</f>
        <v>0.3</v>
      </c>
      <c r="AD56" s="91">
        <f t="shared" ref="AD56:AD57" si="1482">(AE56-U56)/(AE$4-U$4)+AC56</f>
        <v>0.3</v>
      </c>
      <c r="AE56" s="91">
        <f t="shared" ref="AE56:AE57" si="1483">H56</f>
        <v>0.3</v>
      </c>
      <c r="AF56" s="91">
        <f>(AH56-AE56)/(AH$4-AE$4)+AE56</f>
        <v>0.3</v>
      </c>
      <c r="AG56" s="91">
        <f t="shared" ref="AG56:AG57" si="1484">(AE56+AH56)/2</f>
        <v>0.3</v>
      </c>
      <c r="AH56" s="91">
        <f>I56</f>
        <v>0.3</v>
      </c>
      <c r="AJ56" s="91" t="s">
        <v>149</v>
      </c>
      <c r="AK56" s="91">
        <f>AK55</f>
        <v>4.3999999999999997E-2</v>
      </c>
      <c r="AL56" s="97">
        <v>0.25</v>
      </c>
      <c r="AM56" s="91">
        <v>0.15</v>
      </c>
      <c r="AN56" s="91">
        <v>0.08</v>
      </c>
      <c r="AO56" s="91">
        <f>AN56</f>
        <v>0.08</v>
      </c>
      <c r="AP56" s="95" t="str">
        <f>AQ56&amp;" "&amp;AR56&amp;" "&amp;AS56&amp;" "&amp;AT56&amp;" "&amp;AU56&amp;" "&amp;AV56&amp;" "&amp;AW56&amp;" "&amp;AX56&amp;" "&amp;AY56&amp;" "&amp;AZ56&amp;" "&amp;BA56&amp;" "&amp;BB56&amp;" "&amp;BC56&amp;" "&amp;BD56&amp;" "&amp;BE56&amp;" "&amp;BF56&amp;" "&amp;BG56&amp;" "&amp;BH56&amp;" "&amp;BI56&amp;" "&amp;BJ56&amp;" "&amp;BK56&amp;" "&amp;BL56&amp;" "&amp;BM56&amp;" "&amp;BN56&amp;" "</f>
        <v xml:space="preserve">0.25 0.24 0.23 0.22 0.21 0.2 0.19 0.18 0.17 0.16 0.15 0.143 0.136 0.129 0.122 0.115 0.108 0.101 0.0939999999999999 0.0869999999999999 0.08 0.08 0.08 0.08 </v>
      </c>
      <c r="AQ56" s="91">
        <f t="shared" ref="AQ56:AQ57" si="1485">AL56</f>
        <v>0.25</v>
      </c>
      <c r="AR56" s="91">
        <f t="shared" ref="AR56:AR57" si="1486">(BA56-AQ56)/(BA$4-AQ$4)+AQ56</f>
        <v>0.24</v>
      </c>
      <c r="AS56" s="91">
        <f t="shared" ref="AS56:AS57" si="1487">(BA56-AQ56)/(BA$4-AQ$4)+AR56</f>
        <v>0.22999999999999998</v>
      </c>
      <c r="AT56" s="91">
        <f t="shared" ref="AT56:AT57" si="1488">(BA56-AQ56)/(BA$4-AQ$4)+AS56</f>
        <v>0.21999999999999997</v>
      </c>
      <c r="AU56" s="91">
        <f t="shared" ref="AU56:AU57" si="1489">(BA56-AQ56)/(BA$4-AQ$4)+AT56</f>
        <v>0.20999999999999996</v>
      </c>
      <c r="AV56" s="91">
        <f t="shared" ref="AV56:AV57" si="1490">(BA56-AQ56)/(BA$4-AQ$4)+AU56</f>
        <v>0.19999999999999996</v>
      </c>
      <c r="AW56" s="91">
        <f t="shared" ref="AW56:AW57" si="1491">(BA56-AQ56)/(BA$4-AQ$4)+AV56</f>
        <v>0.18999999999999995</v>
      </c>
      <c r="AX56" s="91">
        <f t="shared" ref="AX56:AX57" si="1492">(BA56-AQ56)/(BA$4-AQ$4)+AW56</f>
        <v>0.17999999999999994</v>
      </c>
      <c r="AY56" s="91">
        <f t="shared" ref="AY56:AY57" si="1493">(BA56-AQ56)/(BA$4-AQ$4)+AX56</f>
        <v>0.16999999999999993</v>
      </c>
      <c r="AZ56" s="91">
        <f t="shared" ref="AZ56:AZ57" si="1494">(BA56-AQ56)/(BA$4-AQ$4)+AY56</f>
        <v>0.15999999999999992</v>
      </c>
      <c r="BA56" s="91">
        <f t="shared" ref="BA56:BA57" si="1495">AM56</f>
        <v>0.15</v>
      </c>
      <c r="BB56" s="91">
        <f t="shared" ref="BB56:BB57" si="1496">(BK56-BA56)/(BK$4-BA$4)+BA56</f>
        <v>0.14299999999999999</v>
      </c>
      <c r="BC56" s="91">
        <f t="shared" ref="BC56:BC57" si="1497">(BK56-BA56)/(BK$4-BA$4)+BB56</f>
        <v>0.13599999999999998</v>
      </c>
      <c r="BD56" s="91">
        <f t="shared" ref="BD56:BD57" si="1498">(BK56-BA56)/(BK$4-BA$4)+BC56</f>
        <v>0.12899999999999998</v>
      </c>
      <c r="BE56" s="91">
        <f t="shared" ref="BE56:BE57" si="1499">(BK56-BA56)/(BK$4-BA$4)+BD56</f>
        <v>0.12199999999999997</v>
      </c>
      <c r="BF56" s="91">
        <f t="shared" ref="BF56:BF57" si="1500">(BK56-BA56)/(BK$4-BA$4)+BE56</f>
        <v>0.11499999999999996</v>
      </c>
      <c r="BG56" s="91">
        <f t="shared" ref="BG56:BG57" si="1501">(BK56-BA56)/(BK$4-BA$4)+BF56</f>
        <v>0.10799999999999996</v>
      </c>
      <c r="BH56" s="91">
        <f t="shared" ref="BH56:BH57" si="1502">(BK56-BA56)/(BK$4-BA$4)+BG56</f>
        <v>0.10099999999999995</v>
      </c>
      <c r="BI56" s="91">
        <f t="shared" ref="BI56:BI57" si="1503">(BK56-BA56)/(BK$4-BA$4)+BH56</f>
        <v>9.3999999999999945E-2</v>
      </c>
      <c r="BJ56" s="91">
        <f t="shared" ref="BJ56:BJ57" si="1504">(BK56-BA56)/(BK$4-BA$4)+BI56</f>
        <v>8.6999999999999938E-2</v>
      </c>
      <c r="BK56" s="91">
        <f t="shared" ref="BK56:BK57" si="1505">AN56</f>
        <v>0.08</v>
      </c>
      <c r="BL56" s="91">
        <f>(BN56-BK56)/(BN$4-BK$4)+BK56</f>
        <v>0.08</v>
      </c>
      <c r="BM56" s="91">
        <f t="shared" ref="BM56:BM57" si="1506">(BK56+BN56)/2</f>
        <v>0.08</v>
      </c>
      <c r="BN56" s="91">
        <f>AO56</f>
        <v>0.08</v>
      </c>
      <c r="BP56" s="17">
        <f ca="1">K56*K58</f>
        <v>5133.42</v>
      </c>
      <c r="BQ56" s="17">
        <f t="shared" ref="BQ56" ca="1" si="1507">L56*L58</f>
        <v>5335.9032134831468</v>
      </c>
      <c r="BR56" s="17">
        <f t="shared" ref="BR56" ca="1" si="1508">M56*M58</f>
        <v>5573.0544674157309</v>
      </c>
      <c r="BS56" s="17">
        <f t="shared" ref="BS56" ca="1" si="1509">N56*N58</f>
        <v>5820.5810887078669</v>
      </c>
      <c r="BT56" s="17">
        <f t="shared" ref="BT56" ca="1" si="1510">O56*O58</f>
        <v>6078.9277359606758</v>
      </c>
      <c r="BU56" s="17">
        <f t="shared" ref="BU56" ca="1" si="1511">P56*P58</f>
        <v>6348.5575952169975</v>
      </c>
      <c r="BV56" s="17">
        <f t="shared" ref="BV56" ca="1" si="1512">Q56*Q58</f>
        <v>6413.7589975462533</v>
      </c>
      <c r="BW56" s="17">
        <f t="shared" ref="BW56" ca="1" si="1513">R56*R58</f>
        <v>6469.6091461203923</v>
      </c>
      <c r="BX56" s="17">
        <f t="shared" ref="BX56" ca="1" si="1514">S56*S58</f>
        <v>6515.009912058079</v>
      </c>
      <c r="BY56" s="17">
        <f t="shared" ref="BY56" ca="1" si="1515">T56*T58</f>
        <v>6548.7767317242333</v>
      </c>
      <c r="BZ56" s="17">
        <f t="shared" ref="BZ56" ca="1" si="1516">U56*U58</f>
        <v>6569.6327085768589</v>
      </c>
      <c r="CA56" s="17">
        <f t="shared" ref="CA56" ca="1" si="1517">V56*V58</f>
        <v>6898.1143440057022</v>
      </c>
      <c r="CB56" s="17">
        <f t="shared" ref="CB56" ca="1" si="1518">W56*W58</f>
        <v>7243.020061205988</v>
      </c>
      <c r="CC56" s="17">
        <f t="shared" ref="CC56" ca="1" si="1519">X56*X58</f>
        <v>7605.1710642662874</v>
      </c>
      <c r="CD56" s="17">
        <f t="shared" ref="CD56" ca="1" si="1520">Y56*Y58</f>
        <v>7985.4296174796027</v>
      </c>
      <c r="CE56" s="17">
        <f t="shared" ref="CE56" ca="1" si="1521">Z56*Z58</f>
        <v>8384.7010983535838</v>
      </c>
      <c r="CF56" s="17">
        <f t="shared" ref="CF56" ca="1" si="1522">AA56*AA58</f>
        <v>8803.9361532712628</v>
      </c>
      <c r="CG56" s="17">
        <f t="shared" ref="CG56" ca="1" si="1523">AB56*AB58</f>
        <v>9244.1329609348268</v>
      </c>
      <c r="CH56" s="17">
        <f t="shared" ref="CH56" ca="1" si="1524">AC56*AC58</f>
        <v>9706.3396089815687</v>
      </c>
      <c r="CI56" s="17">
        <f t="shared" ref="CI56" ca="1" si="1525">AD56*AD58</f>
        <v>10191.656589430648</v>
      </c>
      <c r="CJ56" s="17">
        <f t="shared" ref="CJ56" ca="1" si="1526">AE56*AE58</f>
        <v>10701.239418902178</v>
      </c>
      <c r="CK56" s="17">
        <f t="shared" ref="CK56" ca="1" si="1527">AF56*AF58</f>
        <v>11236.301389847289</v>
      </c>
      <c r="CL56" s="17">
        <f t="shared" ref="CL56" ca="1" si="1528">AG56*AG58</f>
        <v>17431.191389308711</v>
      </c>
      <c r="CM56" s="17">
        <f t="shared" ref="CM56" ca="1" si="1529">AH56*AH58</f>
        <v>28393.573992374164</v>
      </c>
      <c r="CN56" s="95" t="str">
        <f t="shared" ca="1" si="1441"/>
        <v xml:space="preserve">420.2 442.6 468.3 495.5 524.1 554.3 567 579 590.1 600.3 609.4 645.2 682.9 722.9 765.2 809.8 857 906.9 959.7 1015.5 1074.4 1128.1 1750.1 2850.8 </v>
      </c>
      <c r="CO56" s="96">
        <f ca="1">ROUND(BP56*(1-AQ56)*(1-$AK56)/8.76*(1+CO$2),1)</f>
        <v>420.2</v>
      </c>
      <c r="CP56" s="96">
        <f t="shared" ca="1" si="1442"/>
        <v>442.6</v>
      </c>
      <c r="CQ56" s="96">
        <f t="shared" ca="1" si="1443"/>
        <v>468.3</v>
      </c>
      <c r="CR56" s="96">
        <f t="shared" ca="1" si="1444"/>
        <v>495.5</v>
      </c>
      <c r="CS56" s="96">
        <f t="shared" ca="1" si="1445"/>
        <v>524.1</v>
      </c>
      <c r="CT56" s="96">
        <f t="shared" ca="1" si="1446"/>
        <v>554.29999999999995</v>
      </c>
      <c r="CU56" s="96">
        <f t="shared" ca="1" si="1447"/>
        <v>567</v>
      </c>
      <c r="CV56" s="96">
        <f t="shared" ca="1" si="1448"/>
        <v>579</v>
      </c>
      <c r="CW56" s="96">
        <f t="shared" ca="1" si="1449"/>
        <v>590.1</v>
      </c>
      <c r="CX56" s="96">
        <f t="shared" ca="1" si="1450"/>
        <v>600.29999999999995</v>
      </c>
      <c r="CY56" s="96">
        <f t="shared" ca="1" si="1451"/>
        <v>609.4</v>
      </c>
      <c r="CZ56" s="96">
        <f t="shared" ca="1" si="1452"/>
        <v>645.20000000000005</v>
      </c>
      <c r="DA56" s="96">
        <f t="shared" ca="1" si="1453"/>
        <v>682.9</v>
      </c>
      <c r="DB56" s="96">
        <f t="shared" ca="1" si="1454"/>
        <v>722.9</v>
      </c>
      <c r="DC56" s="96">
        <f t="shared" ca="1" si="1455"/>
        <v>765.2</v>
      </c>
      <c r="DD56" s="96">
        <f t="shared" ca="1" si="1456"/>
        <v>809.8</v>
      </c>
      <c r="DE56" s="96">
        <f t="shared" ca="1" si="1457"/>
        <v>857</v>
      </c>
      <c r="DF56" s="96">
        <f t="shared" ca="1" si="1458"/>
        <v>906.9</v>
      </c>
      <c r="DG56" s="96">
        <f t="shared" ca="1" si="1459"/>
        <v>959.7</v>
      </c>
      <c r="DH56" s="96">
        <f t="shared" ca="1" si="1460"/>
        <v>1015.5</v>
      </c>
      <c r="DI56" s="96">
        <f t="shared" ca="1" si="1461"/>
        <v>1074.4000000000001</v>
      </c>
      <c r="DJ56" s="96">
        <f t="shared" ca="1" si="1462"/>
        <v>1128.0999999999999</v>
      </c>
      <c r="DK56" s="96">
        <f t="shared" ca="1" si="1463"/>
        <v>1750.1</v>
      </c>
      <c r="DL56" s="96">
        <f t="shared" ca="1" si="1464"/>
        <v>2850.8</v>
      </c>
      <c r="DM56" s="95" t="str">
        <f t="shared" si="1465"/>
        <v xml:space="preserve">0.75 0.76 0.77 0.78 0.79 0.8 0.81 0.82 0.83 0.84 0.85 0.857 0.864 0.871 0.878 0.885 0.892 0.899 0.906 0.913 0.92 0.92 0.92 0.92 </v>
      </c>
      <c r="DN56" s="91">
        <f t="shared" ref="DN56:DN57" si="1530">1-AQ56</f>
        <v>0.75</v>
      </c>
      <c r="DO56" s="91">
        <f t="shared" si="1466"/>
        <v>0.76</v>
      </c>
      <c r="DP56" s="91">
        <f t="shared" si="1466"/>
        <v>0.77</v>
      </c>
      <c r="DQ56" s="91">
        <f t="shared" si="1466"/>
        <v>0.78</v>
      </c>
      <c r="DR56" s="91">
        <f t="shared" si="1466"/>
        <v>0.79</v>
      </c>
      <c r="DS56" s="91">
        <f t="shared" si="1466"/>
        <v>0.8</v>
      </c>
      <c r="DT56" s="91">
        <f t="shared" si="1466"/>
        <v>0.81</v>
      </c>
      <c r="DU56" s="91">
        <f t="shared" si="1466"/>
        <v>0.82000000000000006</v>
      </c>
      <c r="DV56" s="91">
        <f t="shared" si="1466"/>
        <v>0.83000000000000007</v>
      </c>
      <c r="DW56" s="91">
        <f t="shared" si="1466"/>
        <v>0.84000000000000008</v>
      </c>
      <c r="DX56" s="91">
        <f t="shared" si="1466"/>
        <v>0.85</v>
      </c>
      <c r="DY56" s="91">
        <f t="shared" si="1466"/>
        <v>0.85699999999999998</v>
      </c>
      <c r="DZ56" s="91">
        <f t="shared" si="1466"/>
        <v>0.86399999999999999</v>
      </c>
      <c r="EA56" s="91">
        <f t="shared" si="1466"/>
        <v>0.871</v>
      </c>
      <c r="EB56" s="91">
        <f t="shared" si="1466"/>
        <v>0.878</v>
      </c>
      <c r="EC56" s="91">
        <f t="shared" si="1466"/>
        <v>0.88500000000000001</v>
      </c>
      <c r="ED56" s="91">
        <f t="shared" si="1466"/>
        <v>0.89200000000000002</v>
      </c>
      <c r="EE56" s="91">
        <f t="shared" si="1467"/>
        <v>0.89900000000000002</v>
      </c>
      <c r="EF56" s="91">
        <f t="shared" si="1467"/>
        <v>0.90600000000000003</v>
      </c>
      <c r="EG56" s="91">
        <f t="shared" si="1467"/>
        <v>0.91300000000000003</v>
      </c>
      <c r="EH56" s="91">
        <f t="shared" si="1467"/>
        <v>0.92</v>
      </c>
      <c r="EI56" s="91">
        <f t="shared" si="1467"/>
        <v>0.92</v>
      </c>
      <c r="EJ56" s="91">
        <f t="shared" si="1467"/>
        <v>0.92</v>
      </c>
      <c r="EK56" s="91">
        <f t="shared" si="1467"/>
        <v>0.92</v>
      </c>
    </row>
    <row r="57" spans="1:141" x14ac:dyDescent="0.25">
      <c r="A57" t="str">
        <f t="shared" si="17"/>
        <v>RuralZAM</v>
      </c>
      <c r="B57" t="str">
        <f t="shared" si="1415"/>
        <v>Rural</v>
      </c>
      <c r="C57" t="str">
        <f>IFERROR(VLOOKUP(D57,PoolPlan_EnergyProj!$C$89:$D$100,2,FALSE),C56)</f>
        <v>ZAM</v>
      </c>
      <c r="D57" t="s">
        <v>150</v>
      </c>
      <c r="E57" s="91">
        <v>0.02</v>
      </c>
      <c r="F57" s="91">
        <v>0.02</v>
      </c>
      <c r="G57" s="91">
        <v>0.05</v>
      </c>
      <c r="H57" s="91">
        <v>0.05</v>
      </c>
      <c r="I57" s="91">
        <v>0.05</v>
      </c>
      <c r="K57" s="91">
        <f t="shared" si="1469"/>
        <v>0.02</v>
      </c>
      <c r="L57" s="91">
        <f t="shared" si="1470"/>
        <v>0.02</v>
      </c>
      <c r="M57" s="91">
        <f t="shared" si="1470"/>
        <v>0.02</v>
      </c>
      <c r="N57" s="91">
        <f t="shared" si="1470"/>
        <v>0.02</v>
      </c>
      <c r="O57" s="91">
        <f t="shared" si="1470"/>
        <v>0.02</v>
      </c>
      <c r="P57" s="91">
        <f t="shared" si="1471"/>
        <v>0.02</v>
      </c>
      <c r="Q57" s="91">
        <f t="shared" si="1472"/>
        <v>2.6000000000000002E-2</v>
      </c>
      <c r="R57" s="91">
        <f t="shared" si="1472"/>
        <v>3.2000000000000001E-2</v>
      </c>
      <c r="S57" s="91">
        <f t="shared" si="1472"/>
        <v>3.7999999999999999E-2</v>
      </c>
      <c r="T57" s="91">
        <f t="shared" si="1472"/>
        <v>4.3999999999999997E-2</v>
      </c>
      <c r="U57" s="91">
        <f t="shared" si="1473"/>
        <v>0.05</v>
      </c>
      <c r="V57" s="91">
        <f t="shared" si="1474"/>
        <v>0.05</v>
      </c>
      <c r="W57" s="91">
        <f t="shared" si="1475"/>
        <v>0.05</v>
      </c>
      <c r="X57" s="91">
        <f t="shared" si="1476"/>
        <v>0.05</v>
      </c>
      <c r="Y57" s="91">
        <f t="shared" si="1477"/>
        <v>0.05</v>
      </c>
      <c r="Z57" s="91">
        <f t="shared" si="1478"/>
        <v>0.05</v>
      </c>
      <c r="AA57" s="91">
        <f t="shared" si="1479"/>
        <v>0.05</v>
      </c>
      <c r="AB57" s="91">
        <f t="shared" si="1480"/>
        <v>0.05</v>
      </c>
      <c r="AC57" s="91">
        <f t="shared" si="1481"/>
        <v>0.05</v>
      </c>
      <c r="AD57" s="91">
        <f t="shared" si="1482"/>
        <v>0.05</v>
      </c>
      <c r="AE57" s="91">
        <f t="shared" si="1483"/>
        <v>0.05</v>
      </c>
      <c r="AF57" s="91">
        <f>(AH57-AE57)/(AH$4-AE$4)+AE57</f>
        <v>0.05</v>
      </c>
      <c r="AG57" s="91">
        <f t="shared" si="1484"/>
        <v>0.05</v>
      </c>
      <c r="AH57" s="91">
        <f>I57</f>
        <v>0.05</v>
      </c>
      <c r="AJ57" s="98">
        <f>1-((1-AL57)*K57+(1-AL56)*K56+(1-AL55)*K55)*(1-AK55)</f>
        <v>0.16349999999999998</v>
      </c>
      <c r="AK57" s="91">
        <f>AK56</f>
        <v>4.3999999999999997E-2</v>
      </c>
      <c r="AL57" s="91">
        <v>0.3</v>
      </c>
      <c r="AM57" s="91">
        <v>0.2</v>
      </c>
      <c r="AN57" s="91">
        <v>0.2</v>
      </c>
      <c r="AO57" s="91">
        <f>AN57</f>
        <v>0.2</v>
      </c>
      <c r="AP57" s="95" t="str">
        <f>AQ57&amp;" "&amp;AR57&amp;" "&amp;AS57&amp;" "&amp;AT57&amp;" "&amp;AU57&amp;" "&amp;AV57&amp;" "&amp;AW57&amp;" "&amp;AX57&amp;" "&amp;AY57&amp;" "&amp;AZ57&amp;" "&amp;BA57&amp;" "&amp;BB57&amp;" "&amp;BC57&amp;" "&amp;BD57&amp;" "&amp;BE57&amp;" "&amp;BF57&amp;" "&amp;BG57&amp;" "&amp;BH57&amp;" "&amp;BI57&amp;" "&amp;BJ57&amp;" "&amp;BK57&amp;" "&amp;BL57&amp;" "&amp;BM57&amp;" "&amp;BN57&amp;" "</f>
        <v xml:space="preserve">0.3 0.29 0.28 0.27 0.26 0.25 0.24 0.23 0.22 0.21 0.2 0.2 0.2 0.2 0.2 0.2 0.2 0.2 0.2 0.2 0.2 0.2 0.2 0.2 </v>
      </c>
      <c r="AQ57" s="91">
        <f t="shared" si="1485"/>
        <v>0.3</v>
      </c>
      <c r="AR57" s="91">
        <f t="shared" si="1486"/>
        <v>0.28999999999999998</v>
      </c>
      <c r="AS57" s="91">
        <f t="shared" si="1487"/>
        <v>0.27999999999999997</v>
      </c>
      <c r="AT57" s="91">
        <f t="shared" si="1488"/>
        <v>0.26999999999999996</v>
      </c>
      <c r="AU57" s="91">
        <f t="shared" si="1489"/>
        <v>0.25999999999999995</v>
      </c>
      <c r="AV57" s="91">
        <f t="shared" si="1490"/>
        <v>0.24999999999999994</v>
      </c>
      <c r="AW57" s="91">
        <f t="shared" si="1491"/>
        <v>0.23999999999999994</v>
      </c>
      <c r="AX57" s="91">
        <f t="shared" si="1492"/>
        <v>0.22999999999999993</v>
      </c>
      <c r="AY57" s="91">
        <f t="shared" si="1493"/>
        <v>0.21999999999999992</v>
      </c>
      <c r="AZ57" s="91">
        <f t="shared" si="1494"/>
        <v>0.20999999999999991</v>
      </c>
      <c r="BA57" s="91">
        <f t="shared" si="1495"/>
        <v>0.2</v>
      </c>
      <c r="BB57" s="91">
        <f t="shared" si="1496"/>
        <v>0.2</v>
      </c>
      <c r="BC57" s="91">
        <f t="shared" si="1497"/>
        <v>0.2</v>
      </c>
      <c r="BD57" s="91">
        <f t="shared" si="1498"/>
        <v>0.2</v>
      </c>
      <c r="BE57" s="91">
        <f t="shared" si="1499"/>
        <v>0.2</v>
      </c>
      <c r="BF57" s="91">
        <f t="shared" si="1500"/>
        <v>0.2</v>
      </c>
      <c r="BG57" s="91">
        <f t="shared" si="1501"/>
        <v>0.2</v>
      </c>
      <c r="BH57" s="91">
        <f t="shared" si="1502"/>
        <v>0.2</v>
      </c>
      <c r="BI57" s="91">
        <f t="shared" si="1503"/>
        <v>0.2</v>
      </c>
      <c r="BJ57" s="91">
        <f t="shared" si="1504"/>
        <v>0.2</v>
      </c>
      <c r="BK57" s="91">
        <f t="shared" si="1505"/>
        <v>0.2</v>
      </c>
      <c r="BL57" s="91">
        <f>(BN57-BK57)/(BN$4-BK$4)+BK57</f>
        <v>0.2</v>
      </c>
      <c r="BM57" s="91">
        <f t="shared" si="1506"/>
        <v>0.2</v>
      </c>
      <c r="BN57" s="91">
        <f>AO57</f>
        <v>0.2</v>
      </c>
      <c r="BP57" s="17">
        <f ca="1">K57*K58</f>
        <v>270.18</v>
      </c>
      <c r="BQ57" s="17">
        <f t="shared" ref="BQ57" ca="1" si="1531">L57*L58</f>
        <v>282.32292134831465</v>
      </c>
      <c r="BR57" s="17">
        <f t="shared" ref="BR57" ca="1" si="1532">M57*M58</f>
        <v>296.43906741573039</v>
      </c>
      <c r="BS57" s="17">
        <f t="shared" ref="BS57" ca="1" si="1533">N57*N58</f>
        <v>311.26102078651695</v>
      </c>
      <c r="BT57" s="17">
        <f t="shared" ref="BT57" ca="1" si="1534">O57*O58</f>
        <v>326.82407182584279</v>
      </c>
      <c r="BU57" s="17">
        <f t="shared" ref="BU57" ca="1" si="1535">P57*P58</f>
        <v>343.16527541713498</v>
      </c>
      <c r="BV57" s="17">
        <f t="shared" ref="BV57" ca="1" si="1536">Q57*Q58</f>
        <v>468.42060094438932</v>
      </c>
      <c r="BW57" s="17">
        <f t="shared" ref="BW57" ca="1" si="1537">R57*R58</f>
        <v>605.34354583582626</v>
      </c>
      <c r="BX57" s="17">
        <f t="shared" ref="BX57" ca="1" si="1538">S57*S58</f>
        <v>754.78773371404577</v>
      </c>
      <c r="BY57" s="17">
        <f t="shared" ref="BY57" ca="1" si="1539">T57*T58</f>
        <v>917.66298151549779</v>
      </c>
      <c r="BZ57" s="17">
        <f t="shared" ref="BZ57" ca="1" si="1540">U57*U58</f>
        <v>1094.93878476281</v>
      </c>
      <c r="CA57" s="17">
        <f t="shared" ref="CA57" ca="1" si="1541">V57*V58</f>
        <v>1149.6857240009504</v>
      </c>
      <c r="CB57" s="17">
        <f t="shared" ref="CB57" ca="1" si="1542">W57*W58</f>
        <v>1207.1700102009979</v>
      </c>
      <c r="CC57" s="17">
        <f t="shared" ref="CC57" ca="1" si="1543">X57*X58</f>
        <v>1267.5285107110481</v>
      </c>
      <c r="CD57" s="17">
        <f t="shared" ref="CD57" ca="1" si="1544">Y57*Y58</f>
        <v>1330.9049362466005</v>
      </c>
      <c r="CE57" s="17">
        <f t="shared" ref="CE57" ca="1" si="1545">Z57*Z58</f>
        <v>1397.4501830589306</v>
      </c>
      <c r="CF57" s="17">
        <f t="shared" ref="CF57" ca="1" si="1546">AA57*AA58</f>
        <v>1467.3226922118774</v>
      </c>
      <c r="CG57" s="17">
        <f t="shared" ref="CG57" ca="1" si="1547">AB57*AB58</f>
        <v>1540.6888268224711</v>
      </c>
      <c r="CH57" s="17">
        <f t="shared" ref="CH57" ca="1" si="1548">AC57*AC58</f>
        <v>1617.7232681635949</v>
      </c>
      <c r="CI57" s="17">
        <f t="shared" ref="CI57" ca="1" si="1549">AD57*AD58</f>
        <v>1698.6094315717746</v>
      </c>
      <c r="CJ57" s="17">
        <f t="shared" ref="CJ57" ca="1" si="1550">AE57*AE58</f>
        <v>1783.5399031503632</v>
      </c>
      <c r="CK57" s="17">
        <f t="shared" ref="CK57" ca="1" si="1551">AF57*AF58</f>
        <v>1872.7168983078818</v>
      </c>
      <c r="CL57" s="17">
        <f t="shared" ref="CL57" ca="1" si="1552">AG57*AG58</f>
        <v>2905.1985648847854</v>
      </c>
      <c r="CM57" s="17">
        <f t="shared" ref="CM57" ca="1" si="1553">AH57*AH58</f>
        <v>4732.2623320623607</v>
      </c>
      <c r="CN57" s="95" t="str">
        <f t="shared" ca="1" si="1441"/>
        <v xml:space="preserve">20.6 21.9 23.3 24.8 26.4 28.1 38.9 50.9 64.3 79.1 95.6 100.4 105.4 110.7 116.2 122 128.1 134.5 141.2 148.3 155.7 163.5 253.6 413.2 </v>
      </c>
      <c r="CO57" s="96">
        <f ca="1">ROUND(BP57*(1-AQ57)*(1-$AK57)/8.76*(1+CO$2),1)</f>
        <v>20.6</v>
      </c>
      <c r="CP57" s="96">
        <f t="shared" ca="1" si="1442"/>
        <v>21.9</v>
      </c>
      <c r="CQ57" s="96">
        <f t="shared" ca="1" si="1443"/>
        <v>23.3</v>
      </c>
      <c r="CR57" s="96">
        <f t="shared" ca="1" si="1444"/>
        <v>24.8</v>
      </c>
      <c r="CS57" s="96">
        <f t="shared" ca="1" si="1445"/>
        <v>26.4</v>
      </c>
      <c r="CT57" s="96">
        <f t="shared" ca="1" si="1446"/>
        <v>28.1</v>
      </c>
      <c r="CU57" s="96">
        <f t="shared" ca="1" si="1447"/>
        <v>38.9</v>
      </c>
      <c r="CV57" s="96">
        <f t="shared" ca="1" si="1448"/>
        <v>50.9</v>
      </c>
      <c r="CW57" s="96">
        <f t="shared" ca="1" si="1449"/>
        <v>64.3</v>
      </c>
      <c r="CX57" s="96">
        <f t="shared" ca="1" si="1450"/>
        <v>79.099999999999994</v>
      </c>
      <c r="CY57" s="96">
        <f t="shared" ca="1" si="1451"/>
        <v>95.6</v>
      </c>
      <c r="CZ57" s="96">
        <f t="shared" ca="1" si="1452"/>
        <v>100.4</v>
      </c>
      <c r="DA57" s="96">
        <f t="shared" ca="1" si="1453"/>
        <v>105.4</v>
      </c>
      <c r="DB57" s="96">
        <f t="shared" ca="1" si="1454"/>
        <v>110.7</v>
      </c>
      <c r="DC57" s="96">
        <f t="shared" ca="1" si="1455"/>
        <v>116.2</v>
      </c>
      <c r="DD57" s="96">
        <f t="shared" ca="1" si="1456"/>
        <v>122</v>
      </c>
      <c r="DE57" s="96">
        <f t="shared" ca="1" si="1457"/>
        <v>128.1</v>
      </c>
      <c r="DF57" s="96">
        <f t="shared" ca="1" si="1458"/>
        <v>134.5</v>
      </c>
      <c r="DG57" s="96">
        <f t="shared" ca="1" si="1459"/>
        <v>141.19999999999999</v>
      </c>
      <c r="DH57" s="96">
        <f t="shared" ca="1" si="1460"/>
        <v>148.30000000000001</v>
      </c>
      <c r="DI57" s="96">
        <f t="shared" ca="1" si="1461"/>
        <v>155.69999999999999</v>
      </c>
      <c r="DJ57" s="96">
        <f t="shared" ca="1" si="1462"/>
        <v>163.5</v>
      </c>
      <c r="DK57" s="96">
        <f t="shared" ca="1" si="1463"/>
        <v>253.6</v>
      </c>
      <c r="DL57" s="96">
        <f t="shared" ca="1" si="1464"/>
        <v>413.2</v>
      </c>
      <c r="DM57" s="95" t="str">
        <f t="shared" si="1465"/>
        <v xml:space="preserve">0.7 0.71 0.72 0.73 0.74 0.75 0.76 0.77 0.78 0.79 0.8 0.8 0.8 0.8 0.8 0.8 0.8 0.8 0.8 0.8 0.8 0.8 0.8 0.8 </v>
      </c>
      <c r="DN57" s="91">
        <f t="shared" si="1530"/>
        <v>0.7</v>
      </c>
      <c r="DO57" s="91">
        <f t="shared" si="1466"/>
        <v>0.71</v>
      </c>
      <c r="DP57" s="91">
        <f t="shared" si="1466"/>
        <v>0.72</v>
      </c>
      <c r="DQ57" s="91">
        <f t="shared" si="1466"/>
        <v>0.73</v>
      </c>
      <c r="DR57" s="91">
        <f t="shared" si="1466"/>
        <v>0.74</v>
      </c>
      <c r="DS57" s="91">
        <f t="shared" si="1466"/>
        <v>0.75</v>
      </c>
      <c r="DT57" s="91">
        <f t="shared" si="1466"/>
        <v>0.76</v>
      </c>
      <c r="DU57" s="91">
        <f t="shared" si="1466"/>
        <v>0.77</v>
      </c>
      <c r="DV57" s="91">
        <f t="shared" si="1466"/>
        <v>0.78</v>
      </c>
      <c r="DW57" s="91">
        <f t="shared" si="1466"/>
        <v>0.79</v>
      </c>
      <c r="DX57" s="91">
        <f t="shared" si="1466"/>
        <v>0.8</v>
      </c>
      <c r="DY57" s="91">
        <f t="shared" si="1466"/>
        <v>0.8</v>
      </c>
      <c r="DZ57" s="91">
        <f t="shared" si="1466"/>
        <v>0.8</v>
      </c>
      <c r="EA57" s="91">
        <f t="shared" si="1466"/>
        <v>0.8</v>
      </c>
      <c r="EB57" s="91">
        <f t="shared" si="1466"/>
        <v>0.8</v>
      </c>
      <c r="EC57" s="91">
        <f t="shared" si="1466"/>
        <v>0.8</v>
      </c>
      <c r="ED57" s="91">
        <f t="shared" si="1466"/>
        <v>0.8</v>
      </c>
      <c r="EE57" s="91">
        <f t="shared" si="1467"/>
        <v>0.8</v>
      </c>
      <c r="EF57" s="91">
        <f t="shared" si="1467"/>
        <v>0.8</v>
      </c>
      <c r="EG57" s="91">
        <f t="shared" si="1467"/>
        <v>0.8</v>
      </c>
      <c r="EH57" s="91">
        <f t="shared" si="1467"/>
        <v>0.8</v>
      </c>
      <c r="EI57" s="91">
        <f t="shared" si="1467"/>
        <v>0.8</v>
      </c>
      <c r="EJ57" s="91">
        <f t="shared" si="1467"/>
        <v>0.8</v>
      </c>
      <c r="EK57" s="91">
        <f t="shared" si="1467"/>
        <v>0.8</v>
      </c>
    </row>
    <row r="58" spans="1:141" x14ac:dyDescent="0.25">
      <c r="A58" t="str">
        <f t="shared" si="17"/>
        <v>ZAM</v>
      </c>
      <c r="C58" t="str">
        <f>IFERROR(VLOOKUP(D58,PoolPlan_EnergyProj!$C$89:$D$100,2,FALSE),C57)</f>
        <v>ZAM</v>
      </c>
      <c r="D58" t="s">
        <v>151</v>
      </c>
      <c r="K58" s="17">
        <f ca="1">OFFSET(PoolPlan_EnergyProj!$B$6,MATCH(K54,PoolPlan_EnergyProj!$B$7:$B$30),MATCH($C58,PoolPlan_EnergyProj!$C$1:$N$1,0))</f>
        <v>13509</v>
      </c>
      <c r="L58" s="17">
        <f ca="1">OFFSET(PoolPlan_EnergyProj!$B$6,MATCH(L54,PoolPlan_EnergyProj!$B$7:$B$30),MATCH($C58,PoolPlan_EnergyProj!$C$1:$N$1,0))</f>
        <v>14116.146067415732</v>
      </c>
      <c r="M58" s="17">
        <f ca="1">OFFSET(PoolPlan_EnergyProj!$B$6,MATCH(M54,PoolPlan_EnergyProj!$B$7:$B$30),MATCH($C58,PoolPlan_EnergyProj!$C$1:$N$1,0))</f>
        <v>14821.953370786519</v>
      </c>
      <c r="N58" s="17">
        <f ca="1">OFFSET(PoolPlan_EnergyProj!$B$6,MATCH(N54,PoolPlan_EnergyProj!$B$7:$B$30),MATCH($C58,PoolPlan_EnergyProj!$C$1:$N$1,0))</f>
        <v>15563.051039325846</v>
      </c>
      <c r="O58" s="17">
        <f ca="1">OFFSET(PoolPlan_EnergyProj!$B$6,MATCH(O54,PoolPlan_EnergyProj!$B$7:$B$30),MATCH($C58,PoolPlan_EnergyProj!$C$1:$N$1,0))</f>
        <v>16341.20359129214</v>
      </c>
      <c r="P58" s="17">
        <f ca="1">OFFSET(PoolPlan_EnergyProj!$B$6,MATCH(P54,PoolPlan_EnergyProj!$B$7:$B$30),MATCH($C58,PoolPlan_EnergyProj!$C$1:$N$1,0))</f>
        <v>17158.263770856749</v>
      </c>
      <c r="Q58" s="17">
        <f ca="1">OFFSET(PoolPlan_EnergyProj!$B$6,MATCH(Q54,PoolPlan_EnergyProj!$B$7:$B$30),MATCH($C58,PoolPlan_EnergyProj!$C$1:$N$1,0))</f>
        <v>18016.176959399589</v>
      </c>
      <c r="R58" s="17">
        <f ca="1">OFFSET(PoolPlan_EnergyProj!$B$6,MATCH(R54,PoolPlan_EnergyProj!$B$7:$B$30),MATCH($C58,PoolPlan_EnergyProj!$C$1:$N$1,0))</f>
        <v>18916.985807369569</v>
      </c>
      <c r="S58" s="17">
        <f ca="1">OFFSET(PoolPlan_EnergyProj!$B$6,MATCH(S54,PoolPlan_EnergyProj!$B$7:$B$30),MATCH($C58,PoolPlan_EnergyProj!$C$1:$N$1,0))</f>
        <v>19862.835097738047</v>
      </c>
      <c r="T58" s="17">
        <f ca="1">OFFSET(PoolPlan_EnergyProj!$B$6,MATCH(T54,PoolPlan_EnergyProj!$B$7:$B$30),MATCH($C58,PoolPlan_EnergyProj!$C$1:$N$1,0))</f>
        <v>20855.97685262495</v>
      </c>
      <c r="U58" s="17">
        <f ca="1">OFFSET(PoolPlan_EnergyProj!$B$6,MATCH(U54,PoolPlan_EnergyProj!$B$7:$B$30),MATCH($C58,PoolPlan_EnergyProj!$C$1:$N$1,0))</f>
        <v>21898.775695256198</v>
      </c>
      <c r="V58" s="17">
        <f ca="1">OFFSET(PoolPlan_EnergyProj!$B$6,MATCH(V54,PoolPlan_EnergyProj!$B$7:$B$30),MATCH($C58,PoolPlan_EnergyProj!$C$1:$N$1,0))</f>
        <v>22993.714480019007</v>
      </c>
      <c r="W58" s="17">
        <f ca="1">OFFSET(PoolPlan_EnergyProj!$B$6,MATCH(W54,PoolPlan_EnergyProj!$B$7:$B$30),MATCH($C58,PoolPlan_EnergyProj!$C$1:$N$1,0))</f>
        <v>24143.400204019959</v>
      </c>
      <c r="X58" s="17">
        <f ca="1">OFFSET(PoolPlan_EnergyProj!$B$6,MATCH(X54,PoolPlan_EnergyProj!$B$7:$B$30),MATCH($C58,PoolPlan_EnergyProj!$C$1:$N$1,0))</f>
        <v>25350.570214220959</v>
      </c>
      <c r="Y58" s="17">
        <f ca="1">OFFSET(PoolPlan_EnergyProj!$B$6,MATCH(Y54,PoolPlan_EnergyProj!$B$7:$B$30),MATCH($C58,PoolPlan_EnergyProj!$C$1:$N$1,0))</f>
        <v>26618.09872493201</v>
      </c>
      <c r="Z58" s="17">
        <f ca="1">OFFSET(PoolPlan_EnergyProj!$B$6,MATCH(Z54,PoolPlan_EnergyProj!$B$7:$B$30),MATCH($C58,PoolPlan_EnergyProj!$C$1:$N$1,0))</f>
        <v>27949.003661178613</v>
      </c>
      <c r="AA58" s="17">
        <f ca="1">OFFSET(PoolPlan_EnergyProj!$B$6,MATCH(AA54,PoolPlan_EnergyProj!$B$7:$B$30),MATCH($C58,PoolPlan_EnergyProj!$C$1:$N$1,0))</f>
        <v>29346.453844237545</v>
      </c>
      <c r="AB58" s="17">
        <f ca="1">OFFSET(PoolPlan_EnergyProj!$B$6,MATCH(AB54,PoolPlan_EnergyProj!$B$7:$B$30),MATCH($C58,PoolPlan_EnergyProj!$C$1:$N$1,0))</f>
        <v>30813.776536449423</v>
      </c>
      <c r="AC58" s="17">
        <f ca="1">OFFSET(PoolPlan_EnergyProj!$B$6,MATCH(AC54,PoolPlan_EnergyProj!$B$7:$B$30),MATCH($C58,PoolPlan_EnergyProj!$C$1:$N$1,0))</f>
        <v>32354.465363271895</v>
      </c>
      <c r="AD58" s="17">
        <f ca="1">OFFSET(PoolPlan_EnergyProj!$B$6,MATCH(AD54,PoolPlan_EnergyProj!$B$7:$B$30),MATCH($C58,PoolPlan_EnergyProj!$C$1:$N$1,0))</f>
        <v>33972.188631435492</v>
      </c>
      <c r="AE58" s="17">
        <f ca="1">OFFSET(PoolPlan_EnergyProj!$B$6,MATCH(AE54,PoolPlan_EnergyProj!$B$7:$B$30),MATCH($C58,PoolPlan_EnergyProj!$C$1:$N$1,0))</f>
        <v>35670.798063007263</v>
      </c>
      <c r="AF58" s="17">
        <f ca="1">OFFSET(PoolPlan_EnergyProj!$B$6,MATCH(AF54,PoolPlan_EnergyProj!$B$7:$B$30),MATCH($C58,PoolPlan_EnergyProj!$C$1:$N$1,0))</f>
        <v>37454.337966157633</v>
      </c>
      <c r="AG58" s="17">
        <f ca="1">OFFSET(PoolPlan_EnergyProj!$B$6,MATCH(AG54,PoolPlan_EnergyProj!$B$7:$B$30),MATCH($C58,PoolPlan_EnergyProj!$C$1:$N$1,0))</f>
        <v>58103.971297695702</v>
      </c>
      <c r="AH58" s="17">
        <f ca="1">OFFSET(PoolPlan_EnergyProj!$B$6,MATCH(AH54,PoolPlan_EnergyProj!$B$7:$B$30),MATCH($C58,PoolPlan_EnergyProj!$C$1:$N$1,0))</f>
        <v>94645.246641247213</v>
      </c>
      <c r="BP58" s="17">
        <f ca="1">SUM(BP55:BP57)</f>
        <v>13509</v>
      </c>
      <c r="BQ58" s="17">
        <f t="shared" ref="BQ58:CM58" ca="1" si="1554">SUM(BQ55:BQ57)</f>
        <v>14116.146067415732</v>
      </c>
      <c r="BR58" s="17">
        <f t="shared" ca="1" si="1554"/>
        <v>14821.953370786521</v>
      </c>
      <c r="BS58" s="17">
        <f t="shared" ca="1" si="1554"/>
        <v>15563.051039325846</v>
      </c>
      <c r="BT58" s="17">
        <f t="shared" ca="1" si="1554"/>
        <v>16341.203591292138</v>
      </c>
      <c r="BU58" s="17">
        <f t="shared" ca="1" si="1554"/>
        <v>17158.263770856749</v>
      </c>
      <c r="BV58" s="17">
        <f t="shared" ca="1" si="1554"/>
        <v>18016.176959399589</v>
      </c>
      <c r="BW58" s="17">
        <f t="shared" ca="1" si="1554"/>
        <v>18916.985807369569</v>
      </c>
      <c r="BX58" s="17">
        <f t="shared" ca="1" si="1554"/>
        <v>19862.835097738047</v>
      </c>
      <c r="BY58" s="17">
        <f t="shared" ca="1" si="1554"/>
        <v>20855.97685262495</v>
      </c>
      <c r="BZ58" s="17">
        <f t="shared" ca="1" si="1554"/>
        <v>21898.775695256198</v>
      </c>
      <c r="CA58" s="17">
        <f t="shared" ca="1" si="1554"/>
        <v>22993.714480019007</v>
      </c>
      <c r="CB58" s="17">
        <f t="shared" ca="1" si="1554"/>
        <v>24143.400204019959</v>
      </c>
      <c r="CC58" s="17">
        <f t="shared" ca="1" si="1554"/>
        <v>25350.570214220959</v>
      </c>
      <c r="CD58" s="17">
        <f t="shared" ca="1" si="1554"/>
        <v>26618.09872493201</v>
      </c>
      <c r="CE58" s="17">
        <f t="shared" ca="1" si="1554"/>
        <v>27949.003661178613</v>
      </c>
      <c r="CF58" s="17">
        <f t="shared" ca="1" si="1554"/>
        <v>29346.453844237549</v>
      </c>
      <c r="CG58" s="17">
        <f t="shared" ca="1" si="1554"/>
        <v>30813.776536449426</v>
      </c>
      <c r="CH58" s="17">
        <f t="shared" ca="1" si="1554"/>
        <v>32354.465363271895</v>
      </c>
      <c r="CI58" s="17">
        <f t="shared" ca="1" si="1554"/>
        <v>33972.188631435492</v>
      </c>
      <c r="CJ58" s="17">
        <f t="shared" ca="1" si="1554"/>
        <v>35670.798063007263</v>
      </c>
      <c r="CK58" s="17">
        <f t="shared" ca="1" si="1554"/>
        <v>37454.337966157633</v>
      </c>
      <c r="CL58" s="17">
        <f t="shared" ca="1" si="1554"/>
        <v>58103.971297695702</v>
      </c>
      <c r="CM58" s="17">
        <f t="shared" ca="1" si="1554"/>
        <v>94645.246641247213</v>
      </c>
    </row>
    <row r="59" spans="1:141" x14ac:dyDescent="0.25">
      <c r="A59" t="str">
        <f t="shared" si="17"/>
        <v>ZIM</v>
      </c>
      <c r="C59" t="str">
        <f>IFERROR(VLOOKUP(D59,PoolPlan_EnergyProj!$C$89:$D$100,2,FALSE),C58)</f>
        <v>ZIM</v>
      </c>
      <c r="D59" s="93" t="s">
        <v>24</v>
      </c>
      <c r="E59">
        <v>2010</v>
      </c>
      <c r="F59">
        <v>2015</v>
      </c>
      <c r="G59">
        <v>2020</v>
      </c>
      <c r="H59">
        <v>2030</v>
      </c>
      <c r="I59">
        <f>I54</f>
        <v>2050</v>
      </c>
      <c r="K59">
        <v>2010</v>
      </c>
      <c r="L59">
        <f>K59+1</f>
        <v>2011</v>
      </c>
      <c r="M59">
        <f t="shared" ref="M59:AF59" si="1555">L59+1</f>
        <v>2012</v>
      </c>
      <c r="N59">
        <f t="shared" si="1555"/>
        <v>2013</v>
      </c>
      <c r="O59">
        <f t="shared" si="1555"/>
        <v>2014</v>
      </c>
      <c r="P59">
        <f t="shared" si="1555"/>
        <v>2015</v>
      </c>
      <c r="Q59">
        <f t="shared" si="1555"/>
        <v>2016</v>
      </c>
      <c r="R59">
        <f t="shared" si="1555"/>
        <v>2017</v>
      </c>
      <c r="S59">
        <f t="shared" si="1555"/>
        <v>2018</v>
      </c>
      <c r="T59">
        <f t="shared" si="1555"/>
        <v>2019</v>
      </c>
      <c r="U59">
        <f t="shared" si="1555"/>
        <v>2020</v>
      </c>
      <c r="V59">
        <f t="shared" si="1555"/>
        <v>2021</v>
      </c>
      <c r="W59">
        <f t="shared" si="1555"/>
        <v>2022</v>
      </c>
      <c r="X59">
        <f t="shared" si="1555"/>
        <v>2023</v>
      </c>
      <c r="Y59">
        <f t="shared" si="1555"/>
        <v>2024</v>
      </c>
      <c r="Z59">
        <f t="shared" si="1555"/>
        <v>2025</v>
      </c>
      <c r="AA59">
        <f t="shared" si="1555"/>
        <v>2026</v>
      </c>
      <c r="AB59">
        <f t="shared" si="1555"/>
        <v>2027</v>
      </c>
      <c r="AC59">
        <f t="shared" si="1555"/>
        <v>2028</v>
      </c>
      <c r="AD59">
        <f t="shared" si="1555"/>
        <v>2029</v>
      </c>
      <c r="AE59">
        <f t="shared" si="1555"/>
        <v>2030</v>
      </c>
      <c r="AF59">
        <f t="shared" si="1555"/>
        <v>2031</v>
      </c>
      <c r="AG59">
        <v>2040</v>
      </c>
      <c r="AH59">
        <v>2050</v>
      </c>
      <c r="AL59">
        <f>E59</f>
        <v>2010</v>
      </c>
      <c r="AM59">
        <f>G59</f>
        <v>2020</v>
      </c>
      <c r="AN59">
        <f>H59</f>
        <v>2030</v>
      </c>
      <c r="AO59">
        <f>I59</f>
        <v>2050</v>
      </c>
      <c r="AQ59">
        <v>2010</v>
      </c>
      <c r="AR59">
        <f>AQ59+1</f>
        <v>2011</v>
      </c>
      <c r="AS59">
        <f t="shared" ref="AS59:BL59" si="1556">AR59+1</f>
        <v>2012</v>
      </c>
      <c r="AT59">
        <f t="shared" si="1556"/>
        <v>2013</v>
      </c>
      <c r="AU59">
        <f t="shared" si="1556"/>
        <v>2014</v>
      </c>
      <c r="AV59">
        <f t="shared" si="1556"/>
        <v>2015</v>
      </c>
      <c r="AW59">
        <f t="shared" si="1556"/>
        <v>2016</v>
      </c>
      <c r="AX59">
        <f t="shared" si="1556"/>
        <v>2017</v>
      </c>
      <c r="AY59">
        <f t="shared" si="1556"/>
        <v>2018</v>
      </c>
      <c r="AZ59">
        <f t="shared" si="1556"/>
        <v>2019</v>
      </c>
      <c r="BA59">
        <f t="shared" si="1556"/>
        <v>2020</v>
      </c>
      <c r="BB59">
        <f t="shared" si="1556"/>
        <v>2021</v>
      </c>
      <c r="BC59">
        <f t="shared" si="1556"/>
        <v>2022</v>
      </c>
      <c r="BD59">
        <f t="shared" si="1556"/>
        <v>2023</v>
      </c>
      <c r="BE59">
        <f t="shared" si="1556"/>
        <v>2024</v>
      </c>
      <c r="BF59">
        <f t="shared" si="1556"/>
        <v>2025</v>
      </c>
      <c r="BG59">
        <f t="shared" si="1556"/>
        <v>2026</v>
      </c>
      <c r="BH59">
        <f t="shared" si="1556"/>
        <v>2027</v>
      </c>
      <c r="BI59">
        <f t="shared" si="1556"/>
        <v>2028</v>
      </c>
      <c r="BJ59">
        <f t="shared" si="1556"/>
        <v>2029</v>
      </c>
      <c r="BK59">
        <f t="shared" si="1556"/>
        <v>2030</v>
      </c>
      <c r="BL59">
        <f t="shared" si="1556"/>
        <v>2031</v>
      </c>
      <c r="BM59">
        <v>2040</v>
      </c>
      <c r="BN59">
        <v>2050</v>
      </c>
      <c r="BP59">
        <f>AQ59</f>
        <v>2010</v>
      </c>
      <c r="BQ59">
        <f t="shared" ref="BQ59:CM59" si="1557">AR59</f>
        <v>2011</v>
      </c>
      <c r="BR59">
        <f t="shared" si="1557"/>
        <v>2012</v>
      </c>
      <c r="BS59">
        <f t="shared" si="1557"/>
        <v>2013</v>
      </c>
      <c r="BT59">
        <f t="shared" si="1557"/>
        <v>2014</v>
      </c>
      <c r="BU59">
        <f t="shared" si="1557"/>
        <v>2015</v>
      </c>
      <c r="BV59">
        <f t="shared" si="1557"/>
        <v>2016</v>
      </c>
      <c r="BW59">
        <f t="shared" si="1557"/>
        <v>2017</v>
      </c>
      <c r="BX59">
        <f t="shared" si="1557"/>
        <v>2018</v>
      </c>
      <c r="BY59">
        <f t="shared" si="1557"/>
        <v>2019</v>
      </c>
      <c r="BZ59">
        <f t="shared" si="1557"/>
        <v>2020</v>
      </c>
      <c r="CA59">
        <f t="shared" si="1557"/>
        <v>2021</v>
      </c>
      <c r="CB59">
        <f t="shared" si="1557"/>
        <v>2022</v>
      </c>
      <c r="CC59">
        <f t="shared" si="1557"/>
        <v>2023</v>
      </c>
      <c r="CD59">
        <f t="shared" si="1557"/>
        <v>2024</v>
      </c>
      <c r="CE59">
        <f t="shared" si="1557"/>
        <v>2025</v>
      </c>
      <c r="CF59">
        <f t="shared" si="1557"/>
        <v>2026</v>
      </c>
      <c r="CG59">
        <f t="shared" si="1557"/>
        <v>2027</v>
      </c>
      <c r="CH59">
        <f t="shared" si="1557"/>
        <v>2028</v>
      </c>
      <c r="CI59">
        <f t="shared" si="1557"/>
        <v>2029</v>
      </c>
      <c r="CJ59">
        <f t="shared" si="1557"/>
        <v>2030</v>
      </c>
      <c r="CK59">
        <f t="shared" si="1557"/>
        <v>2031</v>
      </c>
      <c r="CL59">
        <f t="shared" si="1557"/>
        <v>2040</v>
      </c>
      <c r="CM59">
        <f t="shared" si="1557"/>
        <v>2050</v>
      </c>
      <c r="CO59">
        <f>BP59</f>
        <v>2010</v>
      </c>
      <c r="CP59">
        <f t="shared" ref="CP59:DD59" si="1558">BQ59</f>
        <v>2011</v>
      </c>
      <c r="CQ59">
        <f t="shared" si="1558"/>
        <v>2012</v>
      </c>
      <c r="CR59">
        <f t="shared" si="1558"/>
        <v>2013</v>
      </c>
      <c r="CS59">
        <f t="shared" si="1558"/>
        <v>2014</v>
      </c>
      <c r="CT59">
        <f t="shared" si="1558"/>
        <v>2015</v>
      </c>
      <c r="CU59">
        <f t="shared" si="1558"/>
        <v>2016</v>
      </c>
      <c r="CV59">
        <f t="shared" si="1558"/>
        <v>2017</v>
      </c>
      <c r="CW59">
        <f t="shared" si="1558"/>
        <v>2018</v>
      </c>
      <c r="CX59">
        <f t="shared" si="1558"/>
        <v>2019</v>
      </c>
      <c r="CY59">
        <f t="shared" si="1558"/>
        <v>2020</v>
      </c>
      <c r="CZ59">
        <f t="shared" si="1558"/>
        <v>2021</v>
      </c>
      <c r="DA59">
        <f t="shared" si="1558"/>
        <v>2022</v>
      </c>
      <c r="DB59">
        <f t="shared" si="1558"/>
        <v>2023</v>
      </c>
      <c r="DC59">
        <f t="shared" si="1558"/>
        <v>2024</v>
      </c>
      <c r="DD59">
        <f t="shared" si="1558"/>
        <v>2025</v>
      </c>
      <c r="DE59">
        <f>CF59</f>
        <v>2026</v>
      </c>
      <c r="DF59">
        <f t="shared" ref="DF59:DG59" si="1559">CG59</f>
        <v>2027</v>
      </c>
      <c r="DG59">
        <f t="shared" si="1559"/>
        <v>2028</v>
      </c>
      <c r="DH59">
        <f>CI59</f>
        <v>2029</v>
      </c>
      <c r="DI59">
        <f t="shared" ref="DI59" si="1560">CJ59</f>
        <v>2030</v>
      </c>
      <c r="DJ59">
        <f>CK59</f>
        <v>2031</v>
      </c>
      <c r="DK59">
        <f>CL59</f>
        <v>2040</v>
      </c>
      <c r="DL59">
        <f t="shared" ref="DL59" si="1561">CM59</f>
        <v>2050</v>
      </c>
    </row>
    <row r="60" spans="1:141" x14ac:dyDescent="0.25">
      <c r="A60" t="str">
        <f t="shared" si="17"/>
        <v>IndustryZIM</v>
      </c>
      <c r="B60" t="str">
        <f t="shared" ref="B60:B62" si="1562">B55</f>
        <v>Industry</v>
      </c>
      <c r="C60" t="str">
        <f>IFERROR(VLOOKUP(D60,PoolPlan_EnergyProj!$C$89:$D$100,2,FALSE),C59)</f>
        <v>ZIM</v>
      </c>
      <c r="D60" t="s">
        <v>146</v>
      </c>
      <c r="E60" s="91">
        <v>0.45</v>
      </c>
      <c r="F60" s="91">
        <v>0.5</v>
      </c>
      <c r="G60" s="91">
        <v>0.55000000000000004</v>
      </c>
      <c r="H60" s="91">
        <v>0.55000000000000004</v>
      </c>
      <c r="I60" s="91">
        <v>0.55000000000000004</v>
      </c>
      <c r="K60" s="91">
        <f>E60</f>
        <v>0.45</v>
      </c>
      <c r="L60" s="91">
        <f>($P60-$K60)/($P$4-$K$4)+K60</f>
        <v>0.46</v>
      </c>
      <c r="M60" s="91">
        <f t="shared" ref="M60:O60" si="1563">($P60-$K60)/($P$4-$K$4)+L60</f>
        <v>0.47000000000000003</v>
      </c>
      <c r="N60" s="91">
        <f t="shared" si="1563"/>
        <v>0.48000000000000004</v>
      </c>
      <c r="O60" s="91">
        <f t="shared" si="1563"/>
        <v>0.49000000000000005</v>
      </c>
      <c r="P60" s="91">
        <f>F60</f>
        <v>0.5</v>
      </c>
      <c r="Q60" s="91">
        <f>($U60-$P60)/($U$4-$P$4)+P60</f>
        <v>0.51</v>
      </c>
      <c r="R60" s="91">
        <f t="shared" ref="R60:T60" si="1564">($U60-$P60)/($U$4-$P$4)+Q60</f>
        <v>0.52</v>
      </c>
      <c r="S60" s="91">
        <f t="shared" si="1564"/>
        <v>0.53</v>
      </c>
      <c r="T60" s="91">
        <f t="shared" si="1564"/>
        <v>0.54</v>
      </c>
      <c r="U60" s="91">
        <f>G60</f>
        <v>0.55000000000000004</v>
      </c>
      <c r="V60" s="91">
        <f>(AE60-U60)/(AE$4-U$4)+U60</f>
        <v>0.55000000000000004</v>
      </c>
      <c r="W60" s="91">
        <f>(AE60-U60)/(AE$4-U$4)+V60</f>
        <v>0.55000000000000004</v>
      </c>
      <c r="X60" s="91">
        <f>(AE60-U60)/(AE$4-U$4)+W60</f>
        <v>0.55000000000000004</v>
      </c>
      <c r="Y60" s="91">
        <f>(AE60-U60)/(AE$4-U$4)+X60</f>
        <v>0.55000000000000004</v>
      </c>
      <c r="Z60" s="91">
        <f>(AE60-U60)/(AE$4-U$4)+Y60</f>
        <v>0.55000000000000004</v>
      </c>
      <c r="AA60" s="91">
        <f>(AE60-U60)/(AE$4-U$4)+Z60</f>
        <v>0.55000000000000004</v>
      </c>
      <c r="AB60" s="91">
        <f>(AE60-U60)/(AE$4-U$4)+AA60</f>
        <v>0.55000000000000004</v>
      </c>
      <c r="AC60" s="91">
        <f>(AE60-U60)/(AE$4-U$4)+AB60</f>
        <v>0.55000000000000004</v>
      </c>
      <c r="AD60" s="91">
        <f>(AE60-U60)/(AE$4-U$4)+AC60</f>
        <v>0.55000000000000004</v>
      </c>
      <c r="AE60" s="91">
        <f>H60</f>
        <v>0.55000000000000004</v>
      </c>
      <c r="AF60" s="91">
        <f>(AH60-AE60)/(AH$4-AE$4)+AE60</f>
        <v>0.55000000000000004</v>
      </c>
      <c r="AG60" s="91">
        <f>(AE60+AH60)/2</f>
        <v>0.55000000000000004</v>
      </c>
      <c r="AH60" s="91">
        <f>I60</f>
        <v>0.55000000000000004</v>
      </c>
      <c r="AJ60" s="94">
        <f>SUMIF(AR2008_Stats!$A$18:$A$29,C60,AR2008_Stats!$T$18:$T$29)</f>
        <v>0.13600000000000001</v>
      </c>
      <c r="AK60" s="91">
        <f>SUMIF(AR2008_Stats!$A$18:$A$29,C60,AR2008_Stats!$R$18:$R$29)</f>
        <v>0.04</v>
      </c>
      <c r="AL60" s="83">
        <v>0.02</v>
      </c>
      <c r="AM60" s="91">
        <v>0.02</v>
      </c>
      <c r="AN60" s="91">
        <v>0.01</v>
      </c>
      <c r="AO60" s="91">
        <v>0.01</v>
      </c>
      <c r="AP60" s="95" t="str">
        <f>AQ60&amp;" "&amp;AR60&amp;" "&amp;AS60&amp;" "&amp;AT60&amp;" "&amp;AU60&amp;" "&amp;AV60&amp;" "&amp;AW60&amp;" "&amp;AX60&amp;" "&amp;AY60&amp;" "&amp;AZ60&amp;" "&amp;BA60&amp;" "&amp;BB60&amp;" "&amp;BC60&amp;" "&amp;BD60&amp;" "&amp;BE60&amp;" "&amp;BF60&amp;" "&amp;BG60&amp;" "&amp;BH60&amp;" "&amp;BI60&amp;" "&amp;BJ60&amp;" "&amp;BK60&amp;" "&amp;BL60&amp;" "&amp;BM60&amp;" "&amp;BN60&amp;" "</f>
        <v xml:space="preserve">0.02 0.02 0.02 0.02 0.02 0.02 0.02 0.02 0.02 0.02 0.02 0.019 0.018 0.017 0.016 0.015 0.014 0.013 0.012 0.011 0.01 0.01 0.01 0.01 </v>
      </c>
      <c r="AQ60" s="91">
        <f>AL60</f>
        <v>0.02</v>
      </c>
      <c r="AR60" s="91">
        <f>(BA60-AQ60)/(BA$4-AQ$4)+AQ60</f>
        <v>0.02</v>
      </c>
      <c r="AS60" s="91">
        <f>(BA60-AQ60)/(BA$4-AQ$4)+AR60</f>
        <v>0.02</v>
      </c>
      <c r="AT60" s="91">
        <f>(BA60-AQ60)/(BA$4-AQ$4)+AS60</f>
        <v>0.02</v>
      </c>
      <c r="AU60" s="91">
        <f>(BA60-AQ60)/(BA$4-AQ$4)+AT60</f>
        <v>0.02</v>
      </c>
      <c r="AV60" s="91">
        <f>(BA60-AQ60)/(BA$4-AQ$4)+AU60</f>
        <v>0.02</v>
      </c>
      <c r="AW60" s="91">
        <f>(BA60-AQ60)/(BA$4-AQ$4)+AV60</f>
        <v>0.02</v>
      </c>
      <c r="AX60" s="91">
        <f>(BA60-AQ60)/(BA$4-AQ$4)+AW60</f>
        <v>0.02</v>
      </c>
      <c r="AY60" s="91">
        <f>(BA60-AQ60)/(BA$4-AQ$4)+AX60</f>
        <v>0.02</v>
      </c>
      <c r="AZ60" s="91">
        <f>(BA60-AQ60)/(BA$4-AQ$4)+AY60</f>
        <v>0.02</v>
      </c>
      <c r="BA60" s="91">
        <f>AM60</f>
        <v>0.02</v>
      </c>
      <c r="BB60" s="91">
        <f>(BK60-BA60)/(BK$4-BA$4)+BA60</f>
        <v>1.9E-2</v>
      </c>
      <c r="BC60" s="91">
        <f>(BK60-BA60)/(BK$4-BA$4)+BB60</f>
        <v>1.7999999999999999E-2</v>
      </c>
      <c r="BD60" s="91">
        <f>(BK60-BA60)/(BK$4-BA$4)+BC60</f>
        <v>1.6999999999999998E-2</v>
      </c>
      <c r="BE60" s="91">
        <f>(BK60-BA60)/(BK$4-BA$4)+BD60</f>
        <v>1.5999999999999997E-2</v>
      </c>
      <c r="BF60" s="91">
        <f>(BK60-BA60)/(BK$4-BA$4)+BE60</f>
        <v>1.4999999999999996E-2</v>
      </c>
      <c r="BG60" s="91">
        <f>(BK60-BA60)/(BK$4-BA$4)+BF60</f>
        <v>1.3999999999999995E-2</v>
      </c>
      <c r="BH60" s="91">
        <f>(BK60-BA60)/(BK$4-BA$4)+BG60</f>
        <v>1.2999999999999994E-2</v>
      </c>
      <c r="BI60" s="91">
        <f>(BK60-BA60)/(BK$4-BA$4)+BH60</f>
        <v>1.1999999999999993E-2</v>
      </c>
      <c r="BJ60" s="91">
        <f>(BK60-BA60)/(BK$4-BA$4)+BI60</f>
        <v>1.0999999999999992E-2</v>
      </c>
      <c r="BK60" s="91">
        <f>AN60</f>
        <v>0.01</v>
      </c>
      <c r="BL60" s="91">
        <f>(BN60-BK60)/(BN$4-BK$4)+BK60</f>
        <v>0.01</v>
      </c>
      <c r="BM60" s="91">
        <f>(BK60+BN60)/2</f>
        <v>0.01</v>
      </c>
      <c r="BN60" s="91">
        <f>AO60</f>
        <v>0.01</v>
      </c>
      <c r="BP60" s="17">
        <f ca="1">K60*K63</f>
        <v>4563.9034748423119</v>
      </c>
      <c r="BQ60" s="17">
        <f t="shared" ref="BQ60" ca="1" si="1565">L60*L63</f>
        <v>4851.9364941434715</v>
      </c>
      <c r="BR60" s="17">
        <f t="shared" ref="BR60" ca="1" si="1566">M60*M63</f>
        <v>5155.7099094289752</v>
      </c>
      <c r="BS60" s="17">
        <f t="shared" ref="BS60" ca="1" si="1567">N60*N63</f>
        <v>5476.0220995466907</v>
      </c>
      <c r="BT60" s="17">
        <f t="shared" ref="BT60" ca="1" si="1568">O60*O63</f>
        <v>5813.7101290187375</v>
      </c>
      <c r="BU60" s="17">
        <f t="shared" ref="BU60" ca="1" si="1569">P60*P63</f>
        <v>6169.6515654892719</v>
      </c>
      <c r="BV60" s="17">
        <f t="shared" ref="BV60" ca="1" si="1570">Q60*Q63</f>
        <v>6544.7663806710198</v>
      </c>
      <c r="BW60" s="17">
        <f t="shared" ref="BW60" ca="1" si="1571">R60*R63</f>
        <v>6940.0189385625245</v>
      </c>
      <c r="BX60" s="17">
        <f t="shared" ref="BX60" ca="1" si="1572">S60*S63</f>
        <v>7356.420074876276</v>
      </c>
      <c r="BY60" s="17">
        <f t="shared" ref="BY60" ca="1" si="1573">T60*T63</f>
        <v>7795.0292717934281</v>
      </c>
      <c r="BZ60" s="17">
        <f t="shared" ref="BZ60" ca="1" si="1574">U60*U63</f>
        <v>8256.9569323441501</v>
      </c>
      <c r="CA60" s="17">
        <f t="shared" ref="CA60" ca="1" si="1575">V60*V63</f>
        <v>8587.2352096379163</v>
      </c>
      <c r="CB60" s="17">
        <f t="shared" ref="CB60" ca="1" si="1576">W60*W63</f>
        <v>8930.7246180234342</v>
      </c>
      <c r="CC60" s="17">
        <f t="shared" ref="CC60" ca="1" si="1577">X60*X63</f>
        <v>9287.9536027443719</v>
      </c>
      <c r="CD60" s="17">
        <f t="shared" ref="CD60" ca="1" si="1578">Y60*Y63</f>
        <v>9659.4717468541476</v>
      </c>
      <c r="CE60" s="17">
        <f t="shared" ref="CE60" ca="1" si="1579">Z60*Z63</f>
        <v>10045.850616728314</v>
      </c>
      <c r="CF60" s="17">
        <f t="shared" ref="CF60" ca="1" si="1580">AA60*AA63</f>
        <v>10447.684641397445</v>
      </c>
      <c r="CG60" s="17">
        <f t="shared" ref="CG60" ca="1" si="1581">AB60*AB63</f>
        <v>10865.592027053344</v>
      </c>
      <c r="CH60" s="17">
        <f t="shared" ref="CH60" ca="1" si="1582">AC60*AC63</f>
        <v>11300.215708135478</v>
      </c>
      <c r="CI60" s="17">
        <f t="shared" ref="CI60" ca="1" si="1583">AD60*AD63</f>
        <v>11752.224336460897</v>
      </c>
      <c r="CJ60" s="17">
        <f t="shared" ref="CJ60" ca="1" si="1584">AE60*AE63</f>
        <v>12222.313309919333</v>
      </c>
      <c r="CK60" s="17">
        <f t="shared" ref="CK60" ca="1" si="1585">AF60*AF63</f>
        <v>12711.205842316107</v>
      </c>
      <c r="CL60" s="17">
        <f t="shared" ref="CL60" ca="1" si="1586">AG60*AG63</f>
        <v>18092.009425489508</v>
      </c>
      <c r="CM60" s="17">
        <f t="shared" ref="CM60" ca="1" si="1587">AH60*AH63</f>
        <v>26780.593554769672</v>
      </c>
      <c r="CN60" s="95" t="str">
        <f t="shared" ref="CN60:CN62" ca="1" si="1588">CO60&amp;" "&amp;CP60&amp;" "&amp;CQ60&amp;" "&amp;CR60&amp;" "&amp;CS60&amp;" "&amp;CT60&amp;" "&amp;CU60&amp;" "&amp;CV60&amp;" "&amp;CW60&amp;" "&amp;CX60&amp;" "&amp;CY60&amp;" "&amp;CZ60&amp;" "&amp;DA60&amp;" "&amp;DB60&amp;" "&amp;DC60&amp;" "&amp;DD60&amp;" "&amp;DE60&amp;" "&amp;DF60&amp;" "&amp;DG60&amp;" "&amp;DH60&amp;" "&amp;DI60&amp;" "&amp;DJ60&amp;" "&amp;DK60&amp;" "&amp;DL60&amp;" "</f>
        <v xml:space="preserve">490.2 521.1 553.7 588.1 624.4 662.6 702.9 745.3 790.1 837.2 886.8 923.2 961.1 1000.6 1041.6 1084.4 1128.9 1175.3 1223.5 1273.7 1326 1379.1 1962.9 2905.5 </v>
      </c>
      <c r="CO60" s="96">
        <f ca="1">ROUND(BP60*(1-AQ60)*(1-$AK60)/8.76*(1+CO$2),1)</f>
        <v>490.2</v>
      </c>
      <c r="CP60" s="96">
        <f t="shared" ref="CP60:CP62" ca="1" si="1589">ROUND(BQ60*(1-AR60)*(1-$AK60)/8.76*(1+CP$2),1)</f>
        <v>521.1</v>
      </c>
      <c r="CQ60" s="96">
        <f t="shared" ref="CQ60:CQ62" ca="1" si="1590">ROUND(BR60*(1-AS60)*(1-$AK60)/8.76*(1+CQ$2),1)</f>
        <v>553.70000000000005</v>
      </c>
      <c r="CR60" s="96">
        <f t="shared" ref="CR60:CR62" ca="1" si="1591">ROUND(BS60*(1-AT60)*(1-$AK60)/8.76*(1+CR$2),1)</f>
        <v>588.1</v>
      </c>
      <c r="CS60" s="96">
        <f t="shared" ref="CS60:CS62" ca="1" si="1592">ROUND(BT60*(1-AU60)*(1-$AK60)/8.76*(1+CS$2),1)</f>
        <v>624.4</v>
      </c>
      <c r="CT60" s="96">
        <f t="shared" ref="CT60:CT62" ca="1" si="1593">ROUND(BU60*(1-AV60)*(1-$AK60)/8.76*(1+CT$2),1)</f>
        <v>662.6</v>
      </c>
      <c r="CU60" s="96">
        <f t="shared" ref="CU60:CU62" ca="1" si="1594">ROUND(BV60*(1-AW60)*(1-$AK60)/8.76*(1+CU$2),1)</f>
        <v>702.9</v>
      </c>
      <c r="CV60" s="96">
        <f t="shared" ref="CV60:CV62" ca="1" si="1595">ROUND(BW60*(1-AX60)*(1-$AK60)/8.76*(1+CV$2),1)</f>
        <v>745.3</v>
      </c>
      <c r="CW60" s="96">
        <f t="shared" ref="CW60:CW62" ca="1" si="1596">ROUND(BX60*(1-AY60)*(1-$AK60)/8.76*(1+CW$2),1)</f>
        <v>790.1</v>
      </c>
      <c r="CX60" s="96">
        <f t="shared" ref="CX60:CX62" ca="1" si="1597">ROUND(BY60*(1-AZ60)*(1-$AK60)/8.76*(1+CX$2),1)</f>
        <v>837.2</v>
      </c>
      <c r="CY60" s="96">
        <f t="shared" ref="CY60:CY62" ca="1" si="1598">ROUND(BZ60*(1-BA60)*(1-$AK60)/8.76*(1+CY$2),1)</f>
        <v>886.8</v>
      </c>
      <c r="CZ60" s="96">
        <f t="shared" ref="CZ60:CZ62" ca="1" si="1599">ROUND(CA60*(1-BB60)*(1-$AK60)/8.76*(1+CZ$2),1)</f>
        <v>923.2</v>
      </c>
      <c r="DA60" s="96">
        <f t="shared" ref="DA60:DA62" ca="1" si="1600">ROUND(CB60*(1-BC60)*(1-$AK60)/8.76*(1+DA$2),1)</f>
        <v>961.1</v>
      </c>
      <c r="DB60" s="96">
        <f t="shared" ref="DB60:DB62" ca="1" si="1601">ROUND(CC60*(1-BD60)*(1-$AK60)/8.76*(1+DB$2),1)</f>
        <v>1000.6</v>
      </c>
      <c r="DC60" s="96">
        <f t="shared" ref="DC60:DC62" ca="1" si="1602">ROUND(CD60*(1-BE60)*(1-$AK60)/8.76*(1+DC$2),1)</f>
        <v>1041.5999999999999</v>
      </c>
      <c r="DD60" s="96">
        <f t="shared" ref="DD60:DD62" ca="1" si="1603">ROUND(CE60*(1-BF60)*(1-$AK60)/8.76*(1+DD$2),1)</f>
        <v>1084.4000000000001</v>
      </c>
      <c r="DE60" s="96">
        <f t="shared" ref="DE60:DE62" ca="1" si="1604">ROUND(CF60*(1-BG60)*(1-$AK60)/8.76*(1+DE$2),1)</f>
        <v>1128.9000000000001</v>
      </c>
      <c r="DF60" s="96">
        <f t="shared" ref="DF60:DF62" ca="1" si="1605">ROUND(CG60*(1-BH60)*(1-$AK60)/8.76*(1+DF$2),1)</f>
        <v>1175.3</v>
      </c>
      <c r="DG60" s="96">
        <f t="shared" ref="DG60:DG62" ca="1" si="1606">ROUND(CH60*(1-BI60)*(1-$AK60)/8.76*(1+DG$2),1)</f>
        <v>1223.5</v>
      </c>
      <c r="DH60" s="96">
        <f t="shared" ref="DH60:DH62" ca="1" si="1607">ROUND(CI60*(1-BJ60)*(1-$AK60)/8.76*(1+DH$2),1)</f>
        <v>1273.7</v>
      </c>
      <c r="DI60" s="96">
        <f t="shared" ref="DI60:DI62" ca="1" si="1608">ROUND(CJ60*(1-BK60)*(1-$AK60)/8.76*(1+DI$2),1)</f>
        <v>1326</v>
      </c>
      <c r="DJ60" s="96">
        <f t="shared" ref="DJ60:DJ62" ca="1" si="1609">ROUND(CK60*(1-BL60)*(1-$AK60)/8.76*(1+DJ$2),1)</f>
        <v>1379.1</v>
      </c>
      <c r="DK60" s="96">
        <f t="shared" ref="DK60:DK62" ca="1" si="1610">ROUND(CL60*(1-BM60)*(1-$AK60)/8.76*(1+DK$2),1)</f>
        <v>1962.9</v>
      </c>
      <c r="DL60" s="96">
        <f t="shared" ref="DL60:DL62" ca="1" si="1611">ROUND(CM60*(1-BN60)*(1-$AK60)/8.76*(1+DL$2),1)</f>
        <v>2905.5</v>
      </c>
      <c r="DM60" s="95" t="str">
        <f t="shared" ref="DM60:DM62" si="1612">DN60&amp;" "&amp;DO60&amp;" "&amp;DP60&amp;" "&amp;DQ60&amp;" "&amp;DR60&amp;" "&amp;DS60&amp;" "&amp;DT60&amp;" "&amp;DU60&amp;" "&amp;DV60&amp;" "&amp;DW60&amp;" "&amp;DX60&amp;" "&amp;DY60&amp;" "&amp;DZ60&amp;" "&amp;EA60&amp;" "&amp;EB60&amp;" "&amp;EC60&amp;" "&amp;ED60&amp;" "&amp;EE60&amp;" "&amp;EF60&amp;" "&amp;EG60&amp;" "&amp;EH60&amp;" "&amp;EI60&amp;" "&amp;EJ60&amp;" "&amp;EK60&amp;" "</f>
        <v xml:space="preserve">0.98 0.98 0.98 0.98 0.98 0.98 0.98 0.98 0.98 0.98 0.98 0.981 0.982 0.983 0.984 0.985 0.986 0.987 0.988 0.989 0.99 0.99 0.99 0.99 </v>
      </c>
      <c r="DN60" s="91">
        <f>1-AQ60</f>
        <v>0.98</v>
      </c>
      <c r="DO60" s="91">
        <f t="shared" ref="DO60:ED62" si="1613">1-AR60</f>
        <v>0.98</v>
      </c>
      <c r="DP60" s="91">
        <f t="shared" si="1613"/>
        <v>0.98</v>
      </c>
      <c r="DQ60" s="91">
        <f t="shared" si="1613"/>
        <v>0.98</v>
      </c>
      <c r="DR60" s="91">
        <f t="shared" si="1613"/>
        <v>0.98</v>
      </c>
      <c r="DS60" s="91">
        <f t="shared" si="1613"/>
        <v>0.98</v>
      </c>
      <c r="DT60" s="91">
        <f t="shared" si="1613"/>
        <v>0.98</v>
      </c>
      <c r="DU60" s="91">
        <f t="shared" si="1613"/>
        <v>0.98</v>
      </c>
      <c r="DV60" s="91">
        <f t="shared" si="1613"/>
        <v>0.98</v>
      </c>
      <c r="DW60" s="91">
        <f t="shared" si="1613"/>
        <v>0.98</v>
      </c>
      <c r="DX60" s="91">
        <f t="shared" si="1613"/>
        <v>0.98</v>
      </c>
      <c r="DY60" s="91">
        <f t="shared" si="1613"/>
        <v>0.98099999999999998</v>
      </c>
      <c r="DZ60" s="91">
        <f t="shared" si="1613"/>
        <v>0.98199999999999998</v>
      </c>
      <c r="EA60" s="91">
        <f t="shared" si="1613"/>
        <v>0.98299999999999998</v>
      </c>
      <c r="EB60" s="91">
        <f t="shared" si="1613"/>
        <v>0.98399999999999999</v>
      </c>
      <c r="EC60" s="91">
        <f t="shared" si="1613"/>
        <v>0.98499999999999999</v>
      </c>
      <c r="ED60" s="91">
        <f t="shared" si="1613"/>
        <v>0.98599999999999999</v>
      </c>
      <c r="EE60" s="91">
        <f t="shared" ref="EE60:EK62" si="1614">1-BH60</f>
        <v>0.98699999999999999</v>
      </c>
      <c r="EF60" s="91">
        <f t="shared" si="1614"/>
        <v>0.98799999999999999</v>
      </c>
      <c r="EG60" s="91">
        <f t="shared" si="1614"/>
        <v>0.98899999999999999</v>
      </c>
      <c r="EH60" s="91">
        <f t="shared" si="1614"/>
        <v>0.99</v>
      </c>
      <c r="EI60" s="91">
        <f t="shared" si="1614"/>
        <v>0.99</v>
      </c>
      <c r="EJ60" s="91">
        <f t="shared" si="1614"/>
        <v>0.99</v>
      </c>
      <c r="EK60" s="91">
        <f t="shared" si="1614"/>
        <v>0.99</v>
      </c>
    </row>
    <row r="61" spans="1:141" x14ac:dyDescent="0.25">
      <c r="A61" t="str">
        <f t="shared" si="17"/>
        <v>UrbanZIM</v>
      </c>
      <c r="B61" t="str">
        <f t="shared" si="1562"/>
        <v>Urban</v>
      </c>
      <c r="C61" t="str">
        <f>IFERROR(VLOOKUP(D61,PoolPlan_EnergyProj!$C$89:$D$100,2,FALSE),C60)</f>
        <v>ZIM</v>
      </c>
      <c r="D61" t="s">
        <v>148</v>
      </c>
      <c r="E61" s="91">
        <f>1-E60-E62</f>
        <v>0.53</v>
      </c>
      <c r="F61" s="91">
        <f>1-F60-F62</f>
        <v>0.47</v>
      </c>
      <c r="G61" s="91">
        <f t="shared" ref="G61:I61" si="1615">1-G60-G62</f>
        <v>0.39999999999999997</v>
      </c>
      <c r="H61" s="91">
        <f t="shared" si="1615"/>
        <v>0.39999999999999997</v>
      </c>
      <c r="I61" s="91">
        <f t="shared" si="1615"/>
        <v>0.39999999999999997</v>
      </c>
      <c r="K61" s="91">
        <f t="shared" ref="K61:K62" si="1616">E61</f>
        <v>0.53</v>
      </c>
      <c r="L61" s="91">
        <f t="shared" ref="L61:O62" si="1617">($P61-$K61)/($P$4-$K$4)+K61</f>
        <v>0.51800000000000002</v>
      </c>
      <c r="M61" s="91">
        <f t="shared" si="1617"/>
        <v>0.50600000000000001</v>
      </c>
      <c r="N61" s="91">
        <f t="shared" si="1617"/>
        <v>0.49399999999999999</v>
      </c>
      <c r="O61" s="91">
        <f t="shared" si="1617"/>
        <v>0.48199999999999998</v>
      </c>
      <c r="P61" s="91">
        <f t="shared" ref="P61:P62" si="1618">F61</f>
        <v>0.47</v>
      </c>
      <c r="Q61" s="91">
        <f t="shared" ref="Q61:T62" si="1619">($U61-$P61)/($U$4-$P$4)+P61</f>
        <v>0.45599999999999996</v>
      </c>
      <c r="R61" s="91">
        <f t="shared" si="1619"/>
        <v>0.44199999999999995</v>
      </c>
      <c r="S61" s="91">
        <f t="shared" si="1619"/>
        <v>0.42799999999999994</v>
      </c>
      <c r="T61" s="91">
        <f t="shared" si="1619"/>
        <v>0.41399999999999992</v>
      </c>
      <c r="U61" s="91">
        <f t="shared" ref="U61:U62" si="1620">G61</f>
        <v>0.39999999999999997</v>
      </c>
      <c r="V61" s="91">
        <f t="shared" ref="V61:V62" si="1621">(AE61-U61)/(AE$4-U$4)+U61</f>
        <v>0.39999999999999997</v>
      </c>
      <c r="W61" s="91">
        <f t="shared" ref="W61:W62" si="1622">(AE61-U61)/(AE$4-U$4)+V61</f>
        <v>0.39999999999999997</v>
      </c>
      <c r="X61" s="91">
        <f t="shared" ref="X61:X62" si="1623">(AE61-U61)/(AE$4-U$4)+W61</f>
        <v>0.39999999999999997</v>
      </c>
      <c r="Y61" s="91">
        <f t="shared" ref="Y61:Y62" si="1624">(AE61-U61)/(AE$4-U$4)+X61</f>
        <v>0.39999999999999997</v>
      </c>
      <c r="Z61" s="91">
        <f t="shared" ref="Z61:Z62" si="1625">(AE61-U61)/(AE$4-U$4)+Y61</f>
        <v>0.39999999999999997</v>
      </c>
      <c r="AA61" s="91">
        <f t="shared" ref="AA61:AA62" si="1626">(AE61-U61)/(AE$4-U$4)+Z61</f>
        <v>0.39999999999999997</v>
      </c>
      <c r="AB61" s="91">
        <f t="shared" ref="AB61:AB62" si="1627">(AE61-U61)/(AE$4-U$4)+AA61</f>
        <v>0.39999999999999997</v>
      </c>
      <c r="AC61" s="91">
        <f t="shared" ref="AC61:AC62" si="1628">(AE61-U61)/(AE$4-U$4)+AB61</f>
        <v>0.39999999999999997</v>
      </c>
      <c r="AD61" s="91">
        <f t="shared" ref="AD61:AD62" si="1629">(AE61-U61)/(AE$4-U$4)+AC61</f>
        <v>0.39999999999999997</v>
      </c>
      <c r="AE61" s="91">
        <f t="shared" ref="AE61:AE62" si="1630">H61</f>
        <v>0.39999999999999997</v>
      </c>
      <c r="AF61" s="91">
        <f>(AH61-AE61)/(AH$4-AE$4)+AE61</f>
        <v>0.39999999999999997</v>
      </c>
      <c r="AG61" s="91">
        <f t="shared" ref="AG61:AG62" si="1631">(AE61+AH61)/2</f>
        <v>0.39999999999999997</v>
      </c>
      <c r="AH61" s="91">
        <f>I61</f>
        <v>0.39999999999999997</v>
      </c>
      <c r="AJ61" s="91" t="s">
        <v>149</v>
      </c>
      <c r="AK61" s="91">
        <f>AK60</f>
        <v>0.04</v>
      </c>
      <c r="AL61" s="97">
        <v>0.17</v>
      </c>
      <c r="AM61" s="91">
        <v>0.12</v>
      </c>
      <c r="AN61" s="91">
        <v>0.08</v>
      </c>
      <c r="AO61" s="91">
        <f>AN61</f>
        <v>0.08</v>
      </c>
      <c r="AP61" s="95" t="str">
        <f>AQ61&amp;" "&amp;AR61&amp;" "&amp;AS61&amp;" "&amp;AT61&amp;" "&amp;AU61&amp;" "&amp;AV61&amp;" "&amp;AW61&amp;" "&amp;AX61&amp;" "&amp;AY61&amp;" "&amp;AZ61&amp;" "&amp;BA61&amp;" "&amp;BB61&amp;" "&amp;BC61&amp;" "&amp;BD61&amp;" "&amp;BE61&amp;" "&amp;BF61&amp;" "&amp;BG61&amp;" "&amp;BH61&amp;" "&amp;BI61&amp;" "&amp;BJ61&amp;" "&amp;BK61&amp;" "&amp;BL61&amp;" "&amp;BM61&amp;" "&amp;BN61&amp;" "</f>
        <v xml:space="preserve">0.17 0.165 0.16 0.155 0.15 0.145 0.14 0.135 0.13 0.125 0.12 0.116 0.112 0.108 0.104 0.1 0.096 0.092 0.088 0.084 0.08 0.08 0.08 0.08 </v>
      </c>
      <c r="AQ61" s="91">
        <f t="shared" ref="AQ61:AQ62" si="1632">AL61</f>
        <v>0.17</v>
      </c>
      <c r="AR61" s="91">
        <f t="shared" ref="AR61:AR62" si="1633">(BA61-AQ61)/(BA$4-AQ$4)+AQ61</f>
        <v>0.16500000000000001</v>
      </c>
      <c r="AS61" s="91">
        <f t="shared" ref="AS61:AS62" si="1634">(BA61-AQ61)/(BA$4-AQ$4)+AR61</f>
        <v>0.16</v>
      </c>
      <c r="AT61" s="91">
        <f t="shared" ref="AT61:AT62" si="1635">(BA61-AQ61)/(BA$4-AQ$4)+AS61</f>
        <v>0.155</v>
      </c>
      <c r="AU61" s="91">
        <f t="shared" ref="AU61:AU62" si="1636">(BA61-AQ61)/(BA$4-AQ$4)+AT61</f>
        <v>0.15</v>
      </c>
      <c r="AV61" s="91">
        <f t="shared" ref="AV61:AV62" si="1637">(BA61-AQ61)/(BA$4-AQ$4)+AU61</f>
        <v>0.14499999999999999</v>
      </c>
      <c r="AW61" s="91">
        <f t="shared" ref="AW61:AW62" si="1638">(BA61-AQ61)/(BA$4-AQ$4)+AV61</f>
        <v>0.13999999999999999</v>
      </c>
      <c r="AX61" s="91">
        <f t="shared" ref="AX61:AX62" si="1639">(BA61-AQ61)/(BA$4-AQ$4)+AW61</f>
        <v>0.13499999999999998</v>
      </c>
      <c r="AY61" s="91">
        <f t="shared" ref="AY61:AY62" si="1640">(BA61-AQ61)/(BA$4-AQ$4)+AX61</f>
        <v>0.12999999999999998</v>
      </c>
      <c r="AZ61" s="91">
        <f t="shared" ref="AZ61:AZ62" si="1641">(BA61-AQ61)/(BA$4-AQ$4)+AY61</f>
        <v>0.12499999999999997</v>
      </c>
      <c r="BA61" s="91">
        <f t="shared" ref="BA61:BA62" si="1642">AM61</f>
        <v>0.12</v>
      </c>
      <c r="BB61" s="91">
        <f t="shared" ref="BB61:BB62" si="1643">(BK61-BA61)/(BK$4-BA$4)+BA61</f>
        <v>0.11599999999999999</v>
      </c>
      <c r="BC61" s="91">
        <f t="shared" ref="BC61:BC62" si="1644">(BK61-BA61)/(BK$4-BA$4)+BB61</f>
        <v>0.11199999999999999</v>
      </c>
      <c r="BD61" s="91">
        <f t="shared" ref="BD61:BD62" si="1645">(BK61-BA61)/(BK$4-BA$4)+BC61</f>
        <v>0.10799999999999998</v>
      </c>
      <c r="BE61" s="91">
        <f t="shared" ref="BE61:BE62" si="1646">(BK61-BA61)/(BK$4-BA$4)+BD61</f>
        <v>0.10399999999999998</v>
      </c>
      <c r="BF61" s="91">
        <f t="shared" ref="BF61:BF62" si="1647">(BK61-BA61)/(BK$4-BA$4)+BE61</f>
        <v>9.9999999999999978E-2</v>
      </c>
      <c r="BG61" s="91">
        <f t="shared" ref="BG61:BG62" si="1648">(BK61-BA61)/(BK$4-BA$4)+BF61</f>
        <v>9.5999999999999974E-2</v>
      </c>
      <c r="BH61" s="91">
        <f t="shared" ref="BH61:BH62" si="1649">(BK61-BA61)/(BK$4-BA$4)+BG61</f>
        <v>9.1999999999999971E-2</v>
      </c>
      <c r="BI61" s="91">
        <f t="shared" ref="BI61:BI62" si="1650">(BK61-BA61)/(BK$4-BA$4)+BH61</f>
        <v>8.7999999999999967E-2</v>
      </c>
      <c r="BJ61" s="91">
        <f t="shared" ref="BJ61:BJ62" si="1651">(BK61-BA61)/(BK$4-BA$4)+BI61</f>
        <v>8.3999999999999964E-2</v>
      </c>
      <c r="BK61" s="91">
        <f t="shared" ref="BK61:BK62" si="1652">AN61</f>
        <v>0.08</v>
      </c>
      <c r="BL61" s="91">
        <f>(BN61-BK61)/(BN$4-BK$4)+BK61</f>
        <v>0.08</v>
      </c>
      <c r="BM61" s="91">
        <f t="shared" ref="BM61:BM62" si="1653">(BK61+BN61)/2</f>
        <v>0.08</v>
      </c>
      <c r="BN61" s="91">
        <f>AO61</f>
        <v>0.08</v>
      </c>
      <c r="BP61" s="17">
        <f ca="1">K61*K63</f>
        <v>5375.2640925920559</v>
      </c>
      <c r="BQ61" s="17">
        <f t="shared" ref="BQ61" ca="1" si="1654">L61*L63</f>
        <v>5463.7023999267785</v>
      </c>
      <c r="BR61" s="17">
        <f t="shared" ref="BR61" ca="1" si="1655">M61*M63</f>
        <v>5550.6153493001311</v>
      </c>
      <c r="BS61" s="17">
        <f t="shared" ref="BS61" ca="1" si="1656">N61*N63</f>
        <v>5635.7394107834689</v>
      </c>
      <c r="BT61" s="17">
        <f t="shared" ref="BT61" ca="1" si="1657">O61*O63</f>
        <v>5718.7924126265934</v>
      </c>
      <c r="BU61" s="17">
        <f t="shared" ref="BU61" ca="1" si="1658">P61*P63</f>
        <v>5799.472471559915</v>
      </c>
      <c r="BV61" s="17">
        <f t="shared" ref="BV61" ca="1" si="1659">Q61*Q63</f>
        <v>5851.7911168352639</v>
      </c>
      <c r="BW61" s="17">
        <f t="shared" ref="BW61" ca="1" si="1660">R61*R63</f>
        <v>5899.0160977781443</v>
      </c>
      <c r="BX61" s="17">
        <f t="shared" ref="BX61" ca="1" si="1661">S61*S63</f>
        <v>5940.6562114095204</v>
      </c>
      <c r="BY61" s="17">
        <f t="shared" ref="BY61" ca="1" si="1662">T61*T63</f>
        <v>5976.1891083749597</v>
      </c>
      <c r="BZ61" s="17">
        <f t="shared" ref="BZ61" ca="1" si="1663">U61*U63</f>
        <v>6005.0595871593805</v>
      </c>
      <c r="CA61" s="17">
        <f t="shared" ref="CA61" ca="1" si="1664">V61*V63</f>
        <v>6245.2619706457563</v>
      </c>
      <c r="CB61" s="17">
        <f t="shared" ref="CB61" ca="1" si="1665">W61*W63</f>
        <v>6495.0724494715869</v>
      </c>
      <c r="CC61" s="17">
        <f t="shared" ref="CC61" ca="1" si="1666">X61*X63</f>
        <v>6754.875347450451</v>
      </c>
      <c r="CD61" s="17">
        <f t="shared" ref="CD61" ca="1" si="1667">Y61*Y63</f>
        <v>7025.0703613484693</v>
      </c>
      <c r="CE61" s="17">
        <f t="shared" ref="CE61" ca="1" si="1668">Z61*Z63</f>
        <v>7306.0731758024085</v>
      </c>
      <c r="CF61" s="17">
        <f t="shared" ref="CF61" ca="1" si="1669">AA61*AA63</f>
        <v>7598.3161028345048</v>
      </c>
      <c r="CG61" s="17">
        <f t="shared" ref="CG61" ca="1" si="1670">AB61*AB63</f>
        <v>7902.2487469478856</v>
      </c>
      <c r="CH61" s="17">
        <f t="shared" ref="CH61" ca="1" si="1671">AC61*AC63</f>
        <v>8218.3386968258001</v>
      </c>
      <c r="CI61" s="17">
        <f t="shared" ref="CI61" ca="1" si="1672">AD61*AD63</f>
        <v>8547.0722446988329</v>
      </c>
      <c r="CJ61" s="17">
        <f t="shared" ref="CJ61" ca="1" si="1673">AE61*AE63</f>
        <v>8888.9551344867868</v>
      </c>
      <c r="CK61" s="17">
        <f t="shared" ref="CK61" ca="1" si="1674">AF61*AF63</f>
        <v>9244.5133398662583</v>
      </c>
      <c r="CL61" s="17">
        <f t="shared" ref="CL61" ca="1" si="1675">AG61*AG63</f>
        <v>13157.825036719642</v>
      </c>
      <c r="CM61" s="17">
        <f t="shared" ref="CM61" ca="1" si="1676">AH61*AH63</f>
        <v>19476.795312559756</v>
      </c>
      <c r="CN61" s="95" t="str">
        <f t="shared" ca="1" si="1588"/>
        <v xml:space="preserve">488.9 500 511 521.9 532.7 543.4 551.5 559.2 566.4 573.1 579.1 605 632.1 660.3 689.8 720.6 752.8 786.3 821.4 858 896.2 932 1326.6 1963.7 </v>
      </c>
      <c r="CO61" s="96">
        <f ca="1">ROUND(BP61*(1-AQ61)*(1-$AK61)/8.76*(1+CO$2),1)</f>
        <v>488.9</v>
      </c>
      <c r="CP61" s="96">
        <f t="shared" ca="1" si="1589"/>
        <v>500</v>
      </c>
      <c r="CQ61" s="96">
        <f t="shared" ca="1" si="1590"/>
        <v>511</v>
      </c>
      <c r="CR61" s="96">
        <f t="shared" ca="1" si="1591"/>
        <v>521.9</v>
      </c>
      <c r="CS61" s="96">
        <f t="shared" ca="1" si="1592"/>
        <v>532.70000000000005</v>
      </c>
      <c r="CT61" s="96">
        <f t="shared" ca="1" si="1593"/>
        <v>543.4</v>
      </c>
      <c r="CU61" s="96">
        <f t="shared" ca="1" si="1594"/>
        <v>551.5</v>
      </c>
      <c r="CV61" s="96">
        <f t="shared" ca="1" si="1595"/>
        <v>559.20000000000005</v>
      </c>
      <c r="CW61" s="96">
        <f t="shared" ca="1" si="1596"/>
        <v>566.4</v>
      </c>
      <c r="CX61" s="96">
        <f t="shared" ca="1" si="1597"/>
        <v>573.1</v>
      </c>
      <c r="CY61" s="96">
        <f t="shared" ca="1" si="1598"/>
        <v>579.1</v>
      </c>
      <c r="CZ61" s="96">
        <f t="shared" ca="1" si="1599"/>
        <v>605</v>
      </c>
      <c r="DA61" s="96">
        <f t="shared" ca="1" si="1600"/>
        <v>632.1</v>
      </c>
      <c r="DB61" s="96">
        <f t="shared" ca="1" si="1601"/>
        <v>660.3</v>
      </c>
      <c r="DC61" s="96">
        <f t="shared" ca="1" si="1602"/>
        <v>689.8</v>
      </c>
      <c r="DD61" s="96">
        <f t="shared" ca="1" si="1603"/>
        <v>720.6</v>
      </c>
      <c r="DE61" s="96">
        <f t="shared" ca="1" si="1604"/>
        <v>752.8</v>
      </c>
      <c r="DF61" s="96">
        <f t="shared" ca="1" si="1605"/>
        <v>786.3</v>
      </c>
      <c r="DG61" s="96">
        <f t="shared" ca="1" si="1606"/>
        <v>821.4</v>
      </c>
      <c r="DH61" s="96">
        <f t="shared" ca="1" si="1607"/>
        <v>858</v>
      </c>
      <c r="DI61" s="96">
        <f t="shared" ca="1" si="1608"/>
        <v>896.2</v>
      </c>
      <c r="DJ61" s="96">
        <f t="shared" ca="1" si="1609"/>
        <v>932</v>
      </c>
      <c r="DK61" s="96">
        <f t="shared" ca="1" si="1610"/>
        <v>1326.6</v>
      </c>
      <c r="DL61" s="96">
        <f t="shared" ca="1" si="1611"/>
        <v>1963.7</v>
      </c>
      <c r="DM61" s="95" t="str">
        <f t="shared" si="1612"/>
        <v xml:space="preserve">0.83 0.835 0.84 0.845 0.85 0.855 0.86 0.865 0.87 0.875 0.88 0.884 0.888 0.892 0.896 0.9 0.904 0.908 0.912 0.916 0.92 0.92 0.92 0.92 </v>
      </c>
      <c r="DN61" s="91">
        <f t="shared" ref="DN61:DN62" si="1677">1-AQ61</f>
        <v>0.83</v>
      </c>
      <c r="DO61" s="91">
        <f t="shared" si="1613"/>
        <v>0.83499999999999996</v>
      </c>
      <c r="DP61" s="91">
        <f t="shared" si="1613"/>
        <v>0.84</v>
      </c>
      <c r="DQ61" s="91">
        <f t="shared" si="1613"/>
        <v>0.84499999999999997</v>
      </c>
      <c r="DR61" s="91">
        <f t="shared" si="1613"/>
        <v>0.85</v>
      </c>
      <c r="DS61" s="91">
        <f t="shared" si="1613"/>
        <v>0.85499999999999998</v>
      </c>
      <c r="DT61" s="91">
        <f t="shared" si="1613"/>
        <v>0.86</v>
      </c>
      <c r="DU61" s="91">
        <f t="shared" si="1613"/>
        <v>0.86499999999999999</v>
      </c>
      <c r="DV61" s="91">
        <f t="shared" si="1613"/>
        <v>0.87</v>
      </c>
      <c r="DW61" s="91">
        <f t="shared" si="1613"/>
        <v>0.875</v>
      </c>
      <c r="DX61" s="91">
        <f t="shared" si="1613"/>
        <v>0.88</v>
      </c>
      <c r="DY61" s="91">
        <f t="shared" si="1613"/>
        <v>0.88400000000000001</v>
      </c>
      <c r="DZ61" s="91">
        <f t="shared" si="1613"/>
        <v>0.88800000000000001</v>
      </c>
      <c r="EA61" s="91">
        <f t="shared" si="1613"/>
        <v>0.89200000000000002</v>
      </c>
      <c r="EB61" s="91">
        <f t="shared" si="1613"/>
        <v>0.89600000000000002</v>
      </c>
      <c r="EC61" s="91">
        <f t="shared" si="1613"/>
        <v>0.9</v>
      </c>
      <c r="ED61" s="91">
        <f t="shared" si="1613"/>
        <v>0.90400000000000003</v>
      </c>
      <c r="EE61" s="91">
        <f t="shared" si="1614"/>
        <v>0.90800000000000003</v>
      </c>
      <c r="EF61" s="91">
        <f t="shared" si="1614"/>
        <v>0.91200000000000003</v>
      </c>
      <c r="EG61" s="91">
        <f t="shared" si="1614"/>
        <v>0.91600000000000004</v>
      </c>
      <c r="EH61" s="91">
        <f t="shared" si="1614"/>
        <v>0.92</v>
      </c>
      <c r="EI61" s="91">
        <f t="shared" si="1614"/>
        <v>0.92</v>
      </c>
      <c r="EJ61" s="91">
        <f t="shared" si="1614"/>
        <v>0.92</v>
      </c>
      <c r="EK61" s="91">
        <f t="shared" si="1614"/>
        <v>0.92</v>
      </c>
    </row>
    <row r="62" spans="1:141" x14ac:dyDescent="0.25">
      <c r="A62" t="str">
        <f t="shared" si="17"/>
        <v>RuralZIM</v>
      </c>
      <c r="B62" t="str">
        <f t="shared" si="1562"/>
        <v>Rural</v>
      </c>
      <c r="C62" t="str">
        <f>IFERROR(VLOOKUP(D62,PoolPlan_EnergyProj!$C$89:$D$100,2,FALSE),C61)</f>
        <v>ZIM</v>
      </c>
      <c r="D62" t="s">
        <v>150</v>
      </c>
      <c r="E62" s="91">
        <v>0.02</v>
      </c>
      <c r="F62" s="91">
        <v>0.03</v>
      </c>
      <c r="G62" s="91">
        <v>0.05</v>
      </c>
      <c r="H62" s="91">
        <v>0.05</v>
      </c>
      <c r="I62" s="91">
        <v>0.05</v>
      </c>
      <c r="K62" s="91">
        <f t="shared" si="1616"/>
        <v>0.02</v>
      </c>
      <c r="L62" s="91">
        <f t="shared" si="1617"/>
        <v>2.1999999999999999E-2</v>
      </c>
      <c r="M62" s="91">
        <f t="shared" si="1617"/>
        <v>2.3999999999999997E-2</v>
      </c>
      <c r="N62" s="91">
        <f t="shared" si="1617"/>
        <v>2.5999999999999995E-2</v>
      </c>
      <c r="O62" s="91">
        <f t="shared" si="1617"/>
        <v>2.7999999999999994E-2</v>
      </c>
      <c r="P62" s="91">
        <f t="shared" si="1618"/>
        <v>0.03</v>
      </c>
      <c r="Q62" s="91">
        <f t="shared" si="1619"/>
        <v>3.4000000000000002E-2</v>
      </c>
      <c r="R62" s="91">
        <f t="shared" si="1619"/>
        <v>3.8000000000000006E-2</v>
      </c>
      <c r="S62" s="91">
        <f t="shared" si="1619"/>
        <v>4.200000000000001E-2</v>
      </c>
      <c r="T62" s="91">
        <f t="shared" si="1619"/>
        <v>4.6000000000000013E-2</v>
      </c>
      <c r="U62" s="91">
        <f t="shared" si="1620"/>
        <v>0.05</v>
      </c>
      <c r="V62" s="91">
        <f t="shared" si="1621"/>
        <v>0.05</v>
      </c>
      <c r="W62" s="91">
        <f t="shared" si="1622"/>
        <v>0.05</v>
      </c>
      <c r="X62" s="91">
        <f t="shared" si="1623"/>
        <v>0.05</v>
      </c>
      <c r="Y62" s="91">
        <f t="shared" si="1624"/>
        <v>0.05</v>
      </c>
      <c r="Z62" s="91">
        <f t="shared" si="1625"/>
        <v>0.05</v>
      </c>
      <c r="AA62" s="91">
        <f t="shared" si="1626"/>
        <v>0.05</v>
      </c>
      <c r="AB62" s="91">
        <f t="shared" si="1627"/>
        <v>0.05</v>
      </c>
      <c r="AC62" s="91">
        <f t="shared" si="1628"/>
        <v>0.05</v>
      </c>
      <c r="AD62" s="91">
        <f t="shared" si="1629"/>
        <v>0.05</v>
      </c>
      <c r="AE62" s="91">
        <f t="shared" si="1630"/>
        <v>0.05</v>
      </c>
      <c r="AF62" s="91">
        <f>(AH62-AE62)/(AH$4-AE$4)+AE62</f>
        <v>0.05</v>
      </c>
      <c r="AG62" s="91">
        <f t="shared" si="1631"/>
        <v>0.05</v>
      </c>
      <c r="AH62" s="91">
        <f>I62</f>
        <v>0.05</v>
      </c>
      <c r="AJ62" s="98">
        <f>1-((1-AL62)*K62+(1-AL61)*K61+(1-AL60)*K60)*(1-AK60)</f>
        <v>0.13897599999999999</v>
      </c>
      <c r="AK62" s="91">
        <f>AK61</f>
        <v>0.04</v>
      </c>
      <c r="AL62" s="91">
        <v>0.2</v>
      </c>
      <c r="AM62" s="91">
        <v>0.2</v>
      </c>
      <c r="AN62" s="91">
        <v>0.2</v>
      </c>
      <c r="AO62" s="91">
        <f>AN62</f>
        <v>0.2</v>
      </c>
      <c r="AP62" s="95" t="str">
        <f>AQ62&amp;" "&amp;AR62&amp;" "&amp;AS62&amp;" "&amp;AT62&amp;" "&amp;AU62&amp;" "&amp;AV62&amp;" "&amp;AW62&amp;" "&amp;AX62&amp;" "&amp;AY62&amp;" "&amp;AZ62&amp;" "&amp;BA62&amp;" "&amp;BB62&amp;" "&amp;BC62&amp;" "&amp;BD62&amp;" "&amp;BE62&amp;" "&amp;BF62&amp;" "&amp;BG62&amp;" "&amp;BH62&amp;" "&amp;BI62&amp;" "&amp;BJ62&amp;" "&amp;BK62&amp;" "&amp;BL62&amp;" "&amp;BM62&amp;" "&amp;BN62&amp;" "</f>
        <v xml:space="preserve">0.2 0.2 0.2 0.2 0.2 0.2 0.2 0.2 0.2 0.2 0.2 0.2 0.2 0.2 0.2 0.2 0.2 0.2 0.2 0.2 0.2 0.2 0.2 0.2 </v>
      </c>
      <c r="AQ62" s="91">
        <f t="shared" si="1632"/>
        <v>0.2</v>
      </c>
      <c r="AR62" s="91">
        <f t="shared" si="1633"/>
        <v>0.2</v>
      </c>
      <c r="AS62" s="91">
        <f t="shared" si="1634"/>
        <v>0.2</v>
      </c>
      <c r="AT62" s="91">
        <f t="shared" si="1635"/>
        <v>0.2</v>
      </c>
      <c r="AU62" s="91">
        <f t="shared" si="1636"/>
        <v>0.2</v>
      </c>
      <c r="AV62" s="91">
        <f t="shared" si="1637"/>
        <v>0.2</v>
      </c>
      <c r="AW62" s="91">
        <f t="shared" si="1638"/>
        <v>0.2</v>
      </c>
      <c r="AX62" s="91">
        <f t="shared" si="1639"/>
        <v>0.2</v>
      </c>
      <c r="AY62" s="91">
        <f t="shared" si="1640"/>
        <v>0.2</v>
      </c>
      <c r="AZ62" s="91">
        <f t="shared" si="1641"/>
        <v>0.2</v>
      </c>
      <c r="BA62" s="91">
        <f t="shared" si="1642"/>
        <v>0.2</v>
      </c>
      <c r="BB62" s="91">
        <f t="shared" si="1643"/>
        <v>0.2</v>
      </c>
      <c r="BC62" s="91">
        <f t="shared" si="1644"/>
        <v>0.2</v>
      </c>
      <c r="BD62" s="91">
        <f t="shared" si="1645"/>
        <v>0.2</v>
      </c>
      <c r="BE62" s="91">
        <f t="shared" si="1646"/>
        <v>0.2</v>
      </c>
      <c r="BF62" s="91">
        <f t="shared" si="1647"/>
        <v>0.2</v>
      </c>
      <c r="BG62" s="91">
        <f t="shared" si="1648"/>
        <v>0.2</v>
      </c>
      <c r="BH62" s="91">
        <f t="shared" si="1649"/>
        <v>0.2</v>
      </c>
      <c r="BI62" s="91">
        <f t="shared" si="1650"/>
        <v>0.2</v>
      </c>
      <c r="BJ62" s="91">
        <f t="shared" si="1651"/>
        <v>0.2</v>
      </c>
      <c r="BK62" s="91">
        <f t="shared" si="1652"/>
        <v>0.2</v>
      </c>
      <c r="BL62" s="91">
        <f>(BN62-BK62)/(BN$4-BK$4)+BK62</f>
        <v>0.2</v>
      </c>
      <c r="BM62" s="91">
        <f t="shared" si="1653"/>
        <v>0.2</v>
      </c>
      <c r="BN62" s="91">
        <f>AO62</f>
        <v>0.2</v>
      </c>
      <c r="BP62" s="17">
        <f ca="1">K62*K63</f>
        <v>202.84015443743607</v>
      </c>
      <c r="BQ62" s="17">
        <f t="shared" ref="BQ62" ca="1" si="1678">L62*L63</f>
        <v>232.04913667642685</v>
      </c>
      <c r="BR62" s="17">
        <f t="shared" ref="BR62" ca="1" si="1679">M62*M63</f>
        <v>263.270293247437</v>
      </c>
      <c r="BS62" s="17">
        <f t="shared" ref="BS62" ca="1" si="1680">N62*N63</f>
        <v>296.61786372544566</v>
      </c>
      <c r="BT62" s="17">
        <f t="shared" ref="BT62" ca="1" si="1681">O62*O63</f>
        <v>332.21200737249916</v>
      </c>
      <c r="BU62" s="17">
        <f t="shared" ref="BU62" ca="1" si="1682">P62*P63</f>
        <v>370.17909392935633</v>
      </c>
      <c r="BV62" s="17">
        <f t="shared" ref="BV62" ca="1" si="1683">Q62*Q63</f>
        <v>436.31775871140132</v>
      </c>
      <c r="BW62" s="17">
        <f t="shared" ref="BW62" ca="1" si="1684">R62*R63</f>
        <v>507.15523012572299</v>
      </c>
      <c r="BX62" s="17">
        <f t="shared" ref="BX62" ca="1" si="1685">S62*S63</f>
        <v>582.96159083925215</v>
      </c>
      <c r="BY62" s="17">
        <f t="shared" ref="BY62" ca="1" si="1686">T62*T63</f>
        <v>664.02101204166252</v>
      </c>
      <c r="BZ62" s="17">
        <f t="shared" ref="BZ62" ca="1" si="1687">U62*U63</f>
        <v>750.63244839492268</v>
      </c>
      <c r="CA62" s="17">
        <f t="shared" ref="CA62" ca="1" si="1688">V62*V63</f>
        <v>780.65774633071965</v>
      </c>
      <c r="CB62" s="17">
        <f t="shared" ref="CB62" ca="1" si="1689">W62*W63</f>
        <v>811.88405618394847</v>
      </c>
      <c r="CC62" s="17">
        <f t="shared" ref="CC62" ca="1" si="1690">X62*X63</f>
        <v>844.35941843130649</v>
      </c>
      <c r="CD62" s="17">
        <f t="shared" ref="CD62" ca="1" si="1691">Y62*Y63</f>
        <v>878.13379516855878</v>
      </c>
      <c r="CE62" s="17">
        <f t="shared" ref="CE62" ca="1" si="1692">Z62*Z63</f>
        <v>913.25914697530118</v>
      </c>
      <c r="CF62" s="17">
        <f t="shared" ref="CF62" ca="1" si="1693">AA62*AA63</f>
        <v>949.78951285431322</v>
      </c>
      <c r="CG62" s="17">
        <f t="shared" ref="CG62" ca="1" si="1694">AB62*AB63</f>
        <v>987.78109336848581</v>
      </c>
      <c r="CH62" s="17">
        <f t="shared" ref="CH62" ca="1" si="1695">AC62*AC63</f>
        <v>1027.2923371032252</v>
      </c>
      <c r="CI62" s="17">
        <f t="shared" ref="CI62" ca="1" si="1696">AD62*AD63</f>
        <v>1068.3840305873543</v>
      </c>
      <c r="CJ62" s="17">
        <f t="shared" ref="CJ62" ca="1" si="1697">AE62*AE63</f>
        <v>1111.1193918108484</v>
      </c>
      <c r="CK62" s="17">
        <f t="shared" ref="CK62" ca="1" si="1698">AF62*AF63</f>
        <v>1155.5641674832823</v>
      </c>
      <c r="CL62" s="17">
        <f t="shared" ref="CL62" ca="1" si="1699">AG62*AG63</f>
        <v>1644.7281295899554</v>
      </c>
      <c r="CM62" s="17">
        <f t="shared" ref="CM62" ca="1" si="1700">AH62*AH63</f>
        <v>2434.59941406997</v>
      </c>
      <c r="CN62" s="95" t="str">
        <f t="shared" ca="1" si="1588"/>
        <v xml:space="preserve">17.8 20.3 23.1 26 29.1 32.5 38.3 44.5 51.1 58.2 65.8 68.4 71.2 74 77 80.1 83.3 86.6 90.1 93.7 97.4 101.3 144.2 213.4 </v>
      </c>
      <c r="CO62" s="96">
        <f ca="1">ROUND(BP62*(1-AQ62)*(1-$AK62)/8.76*(1+CO$2),1)</f>
        <v>17.8</v>
      </c>
      <c r="CP62" s="96">
        <f t="shared" ca="1" si="1589"/>
        <v>20.3</v>
      </c>
      <c r="CQ62" s="96">
        <f t="shared" ca="1" si="1590"/>
        <v>23.1</v>
      </c>
      <c r="CR62" s="96">
        <f t="shared" ca="1" si="1591"/>
        <v>26</v>
      </c>
      <c r="CS62" s="96">
        <f t="shared" ca="1" si="1592"/>
        <v>29.1</v>
      </c>
      <c r="CT62" s="96">
        <f t="shared" ca="1" si="1593"/>
        <v>32.5</v>
      </c>
      <c r="CU62" s="96">
        <f t="shared" ca="1" si="1594"/>
        <v>38.299999999999997</v>
      </c>
      <c r="CV62" s="96">
        <f t="shared" ca="1" si="1595"/>
        <v>44.5</v>
      </c>
      <c r="CW62" s="96">
        <f t="shared" ca="1" si="1596"/>
        <v>51.1</v>
      </c>
      <c r="CX62" s="96">
        <f t="shared" ca="1" si="1597"/>
        <v>58.2</v>
      </c>
      <c r="CY62" s="96">
        <f t="shared" ca="1" si="1598"/>
        <v>65.8</v>
      </c>
      <c r="CZ62" s="96">
        <f t="shared" ca="1" si="1599"/>
        <v>68.400000000000006</v>
      </c>
      <c r="DA62" s="96">
        <f t="shared" ca="1" si="1600"/>
        <v>71.2</v>
      </c>
      <c r="DB62" s="96">
        <f t="shared" ca="1" si="1601"/>
        <v>74</v>
      </c>
      <c r="DC62" s="96">
        <f t="shared" ca="1" si="1602"/>
        <v>77</v>
      </c>
      <c r="DD62" s="96">
        <f t="shared" ca="1" si="1603"/>
        <v>80.099999999999994</v>
      </c>
      <c r="DE62" s="96">
        <f t="shared" ca="1" si="1604"/>
        <v>83.3</v>
      </c>
      <c r="DF62" s="96">
        <f t="shared" ca="1" si="1605"/>
        <v>86.6</v>
      </c>
      <c r="DG62" s="96">
        <f t="shared" ca="1" si="1606"/>
        <v>90.1</v>
      </c>
      <c r="DH62" s="96">
        <f t="shared" ca="1" si="1607"/>
        <v>93.7</v>
      </c>
      <c r="DI62" s="96">
        <f t="shared" ca="1" si="1608"/>
        <v>97.4</v>
      </c>
      <c r="DJ62" s="96">
        <f t="shared" ca="1" si="1609"/>
        <v>101.3</v>
      </c>
      <c r="DK62" s="96">
        <f t="shared" ca="1" si="1610"/>
        <v>144.19999999999999</v>
      </c>
      <c r="DL62" s="96">
        <f t="shared" ca="1" si="1611"/>
        <v>213.4</v>
      </c>
      <c r="DM62" s="95" t="str">
        <f t="shared" si="1612"/>
        <v xml:space="preserve">0.8 0.8 0.8 0.8 0.8 0.8 0.8 0.8 0.8 0.8 0.8 0.8 0.8 0.8 0.8 0.8 0.8 0.8 0.8 0.8 0.8 0.8 0.8 0.8 </v>
      </c>
      <c r="DN62" s="91">
        <f t="shared" si="1677"/>
        <v>0.8</v>
      </c>
      <c r="DO62" s="91">
        <f t="shared" si="1613"/>
        <v>0.8</v>
      </c>
      <c r="DP62" s="91">
        <f t="shared" si="1613"/>
        <v>0.8</v>
      </c>
      <c r="DQ62" s="91">
        <f t="shared" si="1613"/>
        <v>0.8</v>
      </c>
      <c r="DR62" s="91">
        <f t="shared" si="1613"/>
        <v>0.8</v>
      </c>
      <c r="DS62" s="91">
        <f t="shared" si="1613"/>
        <v>0.8</v>
      </c>
      <c r="DT62" s="91">
        <f t="shared" si="1613"/>
        <v>0.8</v>
      </c>
      <c r="DU62" s="91">
        <f t="shared" si="1613"/>
        <v>0.8</v>
      </c>
      <c r="DV62" s="91">
        <f t="shared" si="1613"/>
        <v>0.8</v>
      </c>
      <c r="DW62" s="91">
        <f t="shared" si="1613"/>
        <v>0.8</v>
      </c>
      <c r="DX62" s="91">
        <f t="shared" si="1613"/>
        <v>0.8</v>
      </c>
      <c r="DY62" s="91">
        <f t="shared" si="1613"/>
        <v>0.8</v>
      </c>
      <c r="DZ62" s="91">
        <f t="shared" si="1613"/>
        <v>0.8</v>
      </c>
      <c r="EA62" s="91">
        <f t="shared" si="1613"/>
        <v>0.8</v>
      </c>
      <c r="EB62" s="91">
        <f t="shared" si="1613"/>
        <v>0.8</v>
      </c>
      <c r="EC62" s="91">
        <f t="shared" si="1613"/>
        <v>0.8</v>
      </c>
      <c r="ED62" s="91">
        <f t="shared" si="1613"/>
        <v>0.8</v>
      </c>
      <c r="EE62" s="91">
        <f t="shared" si="1614"/>
        <v>0.8</v>
      </c>
      <c r="EF62" s="91">
        <f t="shared" si="1614"/>
        <v>0.8</v>
      </c>
      <c r="EG62" s="91">
        <f t="shared" si="1614"/>
        <v>0.8</v>
      </c>
      <c r="EH62" s="91">
        <f t="shared" si="1614"/>
        <v>0.8</v>
      </c>
      <c r="EI62" s="91">
        <f t="shared" si="1614"/>
        <v>0.8</v>
      </c>
      <c r="EJ62" s="91">
        <f t="shared" si="1614"/>
        <v>0.8</v>
      </c>
      <c r="EK62" s="91">
        <f t="shared" si="1614"/>
        <v>0.8</v>
      </c>
    </row>
    <row r="63" spans="1:141" x14ac:dyDescent="0.25">
      <c r="A63" t="str">
        <f t="shared" si="17"/>
        <v>ZIM</v>
      </c>
      <c r="C63" t="str">
        <f>IFERROR(VLOOKUP(D63,PoolPlan_EnergyProj!$C$89:$D$100,2,FALSE),C62)</f>
        <v>ZIM</v>
      </c>
      <c r="D63" t="s">
        <v>151</v>
      </c>
      <c r="K63" s="17">
        <f ca="1">OFFSET(PoolPlan_EnergyProj!$B$6,MATCH(K59,PoolPlan_EnergyProj!$B$7:$B$30),MATCH($C63,PoolPlan_EnergyProj!$C$1:$N$1,0))</f>
        <v>10142.007721871803</v>
      </c>
      <c r="L63" s="17">
        <f ca="1">OFFSET(PoolPlan_EnergyProj!$B$6,MATCH(L59,PoolPlan_EnergyProj!$B$7:$B$30),MATCH($C63,PoolPlan_EnergyProj!$C$1:$N$1,0))</f>
        <v>10547.688030746676</v>
      </c>
      <c r="M63" s="17">
        <f ca="1">OFFSET(PoolPlan_EnergyProj!$B$6,MATCH(M59,PoolPlan_EnergyProj!$B$7:$B$30),MATCH($C63,PoolPlan_EnergyProj!$C$1:$N$1,0))</f>
        <v>10969.595551976543</v>
      </c>
      <c r="N63" s="17">
        <f ca="1">OFFSET(PoolPlan_EnergyProj!$B$6,MATCH(N59,PoolPlan_EnergyProj!$B$7:$B$30),MATCH($C63,PoolPlan_EnergyProj!$C$1:$N$1,0))</f>
        <v>11408.379374055605</v>
      </c>
      <c r="O63" s="17">
        <f ca="1">OFFSET(PoolPlan_EnergyProj!$B$6,MATCH(O59,PoolPlan_EnergyProj!$B$7:$B$30),MATCH($C63,PoolPlan_EnergyProj!$C$1:$N$1,0))</f>
        <v>11864.71454901783</v>
      </c>
      <c r="P63" s="17">
        <f ca="1">OFFSET(PoolPlan_EnergyProj!$B$6,MATCH(P59,PoolPlan_EnergyProj!$B$7:$B$30),MATCH($C63,PoolPlan_EnergyProj!$C$1:$N$1,0))</f>
        <v>12339.303130978544</v>
      </c>
      <c r="Q63" s="17">
        <f ca="1">OFFSET(PoolPlan_EnergyProj!$B$6,MATCH(Q59,PoolPlan_EnergyProj!$B$7:$B$30),MATCH($C63,PoolPlan_EnergyProj!$C$1:$N$1,0))</f>
        <v>12832.875256217685</v>
      </c>
      <c r="R63" s="17">
        <f ca="1">OFFSET(PoolPlan_EnergyProj!$B$6,MATCH(R59,PoolPlan_EnergyProj!$B$7:$B$30),MATCH($C63,PoolPlan_EnergyProj!$C$1:$N$1,0))</f>
        <v>13346.190266466392</v>
      </c>
      <c r="S63" s="17">
        <f ca="1">OFFSET(PoolPlan_EnergyProj!$B$6,MATCH(S59,PoolPlan_EnergyProj!$B$7:$B$30),MATCH($C63,PoolPlan_EnergyProj!$C$1:$N$1,0))</f>
        <v>13880.037877125049</v>
      </c>
      <c r="T63" s="17">
        <f ca="1">OFFSET(PoolPlan_EnergyProj!$B$6,MATCH(T59,PoolPlan_EnergyProj!$B$7:$B$30),MATCH($C63,PoolPlan_EnergyProj!$C$1:$N$1,0))</f>
        <v>14435.239392210051</v>
      </c>
      <c r="U63" s="17">
        <f ca="1">OFFSET(PoolPlan_EnergyProj!$B$6,MATCH(U59,PoolPlan_EnergyProj!$B$7:$B$30),MATCH($C63,PoolPlan_EnergyProj!$C$1:$N$1,0))</f>
        <v>15012.648967898453</v>
      </c>
      <c r="V63" s="17">
        <f ca="1">OFFSET(PoolPlan_EnergyProj!$B$6,MATCH(V59,PoolPlan_EnergyProj!$B$7:$B$30),MATCH($C63,PoolPlan_EnergyProj!$C$1:$N$1,0))</f>
        <v>15613.154926614392</v>
      </c>
      <c r="W63" s="17">
        <f ca="1">OFFSET(PoolPlan_EnergyProj!$B$6,MATCH(W59,PoolPlan_EnergyProj!$B$7:$B$30),MATCH($C63,PoolPlan_EnergyProj!$C$1:$N$1,0))</f>
        <v>16237.681123678969</v>
      </c>
      <c r="X63" s="17">
        <f ca="1">OFFSET(PoolPlan_EnergyProj!$B$6,MATCH(X59,PoolPlan_EnergyProj!$B$7:$B$30),MATCH($C63,PoolPlan_EnergyProj!$C$1:$N$1,0))</f>
        <v>16887.188368626128</v>
      </c>
      <c r="Y63" s="17">
        <f ca="1">OFFSET(PoolPlan_EnergyProj!$B$6,MATCH(Y59,PoolPlan_EnergyProj!$B$7:$B$30),MATCH($C63,PoolPlan_EnergyProj!$C$1:$N$1,0))</f>
        <v>17562.675903371175</v>
      </c>
      <c r="Z63" s="17">
        <f ca="1">OFFSET(PoolPlan_EnergyProj!$B$6,MATCH(Z59,PoolPlan_EnergyProj!$B$7:$B$30),MATCH($C63,PoolPlan_EnergyProj!$C$1:$N$1,0))</f>
        <v>18265.182939506023</v>
      </c>
      <c r="AA63" s="17">
        <f ca="1">OFFSET(PoolPlan_EnergyProj!$B$6,MATCH(AA59,PoolPlan_EnergyProj!$B$7:$B$30),MATCH($C63,PoolPlan_EnergyProj!$C$1:$N$1,0))</f>
        <v>18995.790257086264</v>
      </c>
      <c r="AB63" s="17">
        <f ca="1">OFFSET(PoolPlan_EnergyProj!$B$6,MATCH(AB59,PoolPlan_EnergyProj!$B$7:$B$30),MATCH($C63,PoolPlan_EnergyProj!$C$1:$N$1,0))</f>
        <v>19755.621867369715</v>
      </c>
      <c r="AC63" s="17">
        <f ca="1">OFFSET(PoolPlan_EnergyProj!$B$6,MATCH(AC59,PoolPlan_EnergyProj!$B$7:$B$30),MATCH($C63,PoolPlan_EnergyProj!$C$1:$N$1,0))</f>
        <v>20545.846742064503</v>
      </c>
      <c r="AD63" s="17">
        <f ca="1">OFFSET(PoolPlan_EnergyProj!$B$6,MATCH(AD59,PoolPlan_EnergyProj!$B$7:$B$30),MATCH($C63,PoolPlan_EnergyProj!$C$1:$N$1,0))</f>
        <v>21367.680611747084</v>
      </c>
      <c r="AE63" s="17">
        <f ca="1">OFFSET(PoolPlan_EnergyProj!$B$6,MATCH(AE59,PoolPlan_EnergyProj!$B$7:$B$30),MATCH($C63,PoolPlan_EnergyProj!$C$1:$N$1,0))</f>
        <v>22222.387836216967</v>
      </c>
      <c r="AF63" s="17">
        <f ca="1">OFFSET(PoolPlan_EnergyProj!$B$6,MATCH(AF59,PoolPlan_EnergyProj!$B$7:$B$30),MATCH($C63,PoolPlan_EnergyProj!$C$1:$N$1,0))</f>
        <v>23111.283349665646</v>
      </c>
      <c r="AG63" s="17">
        <f ca="1">OFFSET(PoolPlan_EnergyProj!$B$6,MATCH(AG59,PoolPlan_EnergyProj!$B$7:$B$30),MATCH($C63,PoolPlan_EnergyProj!$C$1:$N$1,0))</f>
        <v>32894.562591799106</v>
      </c>
      <c r="AH63" s="17">
        <f ca="1">OFFSET(PoolPlan_EnergyProj!$B$6,MATCH(AH59,PoolPlan_EnergyProj!$B$7:$B$30),MATCH($C63,PoolPlan_EnergyProj!$C$1:$N$1,0))</f>
        <v>48691.988281399397</v>
      </c>
      <c r="BP63" s="17">
        <f ca="1">SUM(BP60:BP62)</f>
        <v>10142.007721871803</v>
      </c>
      <c r="BQ63" s="17">
        <f t="shared" ref="BQ63:CM63" ca="1" si="1701">SUM(BQ60:BQ62)</f>
        <v>10547.688030746676</v>
      </c>
      <c r="BR63" s="17">
        <f t="shared" ca="1" si="1701"/>
        <v>10969.595551976543</v>
      </c>
      <c r="BS63" s="17">
        <f t="shared" ca="1" si="1701"/>
        <v>11408.379374055605</v>
      </c>
      <c r="BT63" s="17">
        <f t="shared" ca="1" si="1701"/>
        <v>11864.714549017832</v>
      </c>
      <c r="BU63" s="17">
        <f t="shared" ca="1" si="1701"/>
        <v>12339.303130978544</v>
      </c>
      <c r="BV63" s="17">
        <f t="shared" ca="1" si="1701"/>
        <v>12832.875256217685</v>
      </c>
      <c r="BW63" s="17">
        <f t="shared" ca="1" si="1701"/>
        <v>13346.190266466392</v>
      </c>
      <c r="BX63" s="17">
        <f t="shared" ca="1" si="1701"/>
        <v>13880.037877125047</v>
      </c>
      <c r="BY63" s="17">
        <f t="shared" ca="1" si="1701"/>
        <v>14435.239392210051</v>
      </c>
      <c r="BZ63" s="17">
        <f t="shared" ca="1" si="1701"/>
        <v>15012.648967898453</v>
      </c>
      <c r="CA63" s="17">
        <f t="shared" ca="1" si="1701"/>
        <v>15613.154926614394</v>
      </c>
      <c r="CB63" s="17">
        <f t="shared" ca="1" si="1701"/>
        <v>16237.681123678969</v>
      </c>
      <c r="CC63" s="17">
        <f t="shared" ca="1" si="1701"/>
        <v>16887.188368626132</v>
      </c>
      <c r="CD63" s="17">
        <f t="shared" ca="1" si="1701"/>
        <v>17562.675903371175</v>
      </c>
      <c r="CE63" s="17">
        <f t="shared" ca="1" si="1701"/>
        <v>18265.182939506027</v>
      </c>
      <c r="CF63" s="17">
        <f t="shared" ca="1" si="1701"/>
        <v>18995.790257086264</v>
      </c>
      <c r="CG63" s="17">
        <f t="shared" ca="1" si="1701"/>
        <v>19755.621867369715</v>
      </c>
      <c r="CH63" s="17">
        <f t="shared" ca="1" si="1701"/>
        <v>20545.846742064507</v>
      </c>
      <c r="CI63" s="17">
        <f t="shared" ca="1" si="1701"/>
        <v>21367.680611747084</v>
      </c>
      <c r="CJ63" s="17">
        <f t="shared" ca="1" si="1701"/>
        <v>22222.387836216967</v>
      </c>
      <c r="CK63" s="17">
        <f t="shared" ca="1" si="1701"/>
        <v>23111.283349665646</v>
      </c>
      <c r="CL63" s="17">
        <f t="shared" ca="1" si="1701"/>
        <v>32894.562591799106</v>
      </c>
      <c r="CM63" s="17">
        <f t="shared" ca="1" si="1701"/>
        <v>48691.988281399397</v>
      </c>
    </row>
    <row r="64" spans="1:141" x14ac:dyDescent="0.25">
      <c r="CO64">
        <f>CO4</f>
        <v>2010</v>
      </c>
      <c r="CP64">
        <f>CP4</f>
        <v>2011</v>
      </c>
      <c r="CQ64">
        <f t="shared" ref="CQ64:DL64" si="1702">CQ4</f>
        <v>2012</v>
      </c>
      <c r="CR64">
        <f t="shared" si="1702"/>
        <v>2013</v>
      </c>
      <c r="CS64">
        <f t="shared" si="1702"/>
        <v>2014</v>
      </c>
      <c r="CT64">
        <f t="shared" si="1702"/>
        <v>2015</v>
      </c>
      <c r="CU64">
        <f t="shared" si="1702"/>
        <v>2016</v>
      </c>
      <c r="CV64">
        <f t="shared" si="1702"/>
        <v>2017</v>
      </c>
      <c r="CW64">
        <f t="shared" si="1702"/>
        <v>2018</v>
      </c>
      <c r="CX64">
        <f t="shared" si="1702"/>
        <v>2019</v>
      </c>
      <c r="CY64">
        <f t="shared" si="1702"/>
        <v>2020</v>
      </c>
      <c r="CZ64">
        <f t="shared" si="1702"/>
        <v>2021</v>
      </c>
      <c r="DA64">
        <f t="shared" si="1702"/>
        <v>2022</v>
      </c>
      <c r="DB64">
        <f t="shared" si="1702"/>
        <v>2023</v>
      </c>
      <c r="DC64">
        <f t="shared" si="1702"/>
        <v>2024</v>
      </c>
      <c r="DD64">
        <f t="shared" si="1702"/>
        <v>2025</v>
      </c>
      <c r="DE64">
        <f t="shared" si="1702"/>
        <v>2026</v>
      </c>
      <c r="DF64">
        <f t="shared" si="1702"/>
        <v>2027</v>
      </c>
      <c r="DG64">
        <f t="shared" si="1702"/>
        <v>2028</v>
      </c>
      <c r="DH64">
        <f t="shared" si="1702"/>
        <v>2029</v>
      </c>
      <c r="DI64">
        <f t="shared" si="1702"/>
        <v>2030</v>
      </c>
      <c r="DJ64">
        <f t="shared" si="1702"/>
        <v>2031</v>
      </c>
      <c r="DK64">
        <f t="shared" si="1702"/>
        <v>2040</v>
      </c>
      <c r="DL64">
        <f t="shared" si="1702"/>
        <v>2050</v>
      </c>
    </row>
    <row r="65" spans="92:116" x14ac:dyDescent="0.25">
      <c r="CN65" t="str">
        <f>B55</f>
        <v>Industry</v>
      </c>
      <c r="CO65" s="96">
        <f ca="1">SUMIF($B$5:$B$63,$CN65,CO$5:CO$63)*8.76/1000</f>
        <v>186.12634800000004</v>
      </c>
      <c r="CP65" s="96">
        <f t="shared" ref="CP65:DL67" ca="1" si="1703">SUMIF($B$5:$B$63,$CN65,CP$5:CP$63)*8.76/1000</f>
        <v>192.43617599999999</v>
      </c>
      <c r="CQ65" s="96">
        <f t="shared" ca="1" si="1703"/>
        <v>199.23393600000003</v>
      </c>
      <c r="CR65" s="96">
        <f t="shared" ca="1" si="1703"/>
        <v>207.30890399999998</v>
      </c>
      <c r="CS65" s="96">
        <f t="shared" ca="1" si="1703"/>
        <v>213.75276000000002</v>
      </c>
      <c r="CT65" s="96">
        <f t="shared" ca="1" si="1703"/>
        <v>222.33142799999996</v>
      </c>
      <c r="CU65" s="96">
        <f t="shared" ca="1" si="1703"/>
        <v>228.04032000000004</v>
      </c>
      <c r="CV65" s="96">
        <f t="shared" ca="1" si="1703"/>
        <v>234.46052399999999</v>
      </c>
      <c r="CW65" s="96">
        <f t="shared" ca="1" si="1703"/>
        <v>241.40107199999994</v>
      </c>
      <c r="CX65" s="96">
        <f t="shared" ca="1" si="1703"/>
        <v>248.83130400000005</v>
      </c>
      <c r="CY65" s="96">
        <f t="shared" ca="1" si="1703"/>
        <v>255.25325999999995</v>
      </c>
      <c r="CZ65" s="96">
        <f t="shared" ca="1" si="1703"/>
        <v>262.29717599999998</v>
      </c>
      <c r="DA65" s="96">
        <f t="shared" ca="1" si="1703"/>
        <v>268.91185200000001</v>
      </c>
      <c r="DB65" s="96">
        <f t="shared" ca="1" si="1703"/>
        <v>275.50112399999995</v>
      </c>
      <c r="DC65" s="96">
        <f t="shared" ca="1" si="1703"/>
        <v>282.27523199999996</v>
      </c>
      <c r="DD65" s="96">
        <f t="shared" ca="1" si="1703"/>
        <v>290.40451200000001</v>
      </c>
      <c r="DE65" s="96">
        <f t="shared" ca="1" si="1703"/>
        <v>298.46371200000004</v>
      </c>
      <c r="DF65" s="96">
        <f t="shared" ca="1" si="1703"/>
        <v>306.04374000000001</v>
      </c>
      <c r="DG65" s="96">
        <f t="shared" ca="1" si="1703"/>
        <v>313.56069600000006</v>
      </c>
      <c r="DH65" s="96">
        <f t="shared" ca="1" si="1703"/>
        <v>321.30979199999996</v>
      </c>
      <c r="DI65" s="96">
        <f t="shared" ca="1" si="1703"/>
        <v>327.65641199999993</v>
      </c>
      <c r="DJ65" s="96">
        <f t="shared" ca="1" si="1703"/>
        <v>343.71173999999991</v>
      </c>
      <c r="DK65" s="96">
        <f t="shared" ca="1" si="1703"/>
        <v>416.00451600000002</v>
      </c>
      <c r="DL65" s="96">
        <f t="shared" ca="1" si="1703"/>
        <v>522.72321599999998</v>
      </c>
    </row>
    <row r="66" spans="92:116" x14ac:dyDescent="0.25">
      <c r="CN66" t="str">
        <f>B56</f>
        <v>Urban</v>
      </c>
      <c r="CO66" s="96">
        <f t="shared" ref="CO66:DD67" ca="1" si="1704">SUMIF($B$5:$B$63,$CN66,CO$5:CO$63)*8.76/1000</f>
        <v>90.916536000000008</v>
      </c>
      <c r="CP66" s="96">
        <f t="shared" ca="1" si="1704"/>
        <v>94.19189999999999</v>
      </c>
      <c r="CQ66" s="96">
        <f t="shared" ca="1" si="1704"/>
        <v>97.63458</v>
      </c>
      <c r="CR66" s="96">
        <f t="shared" ca="1" si="1704"/>
        <v>101.69483999999999</v>
      </c>
      <c r="CS66" s="96">
        <f t="shared" ca="1" si="1704"/>
        <v>105.006996</v>
      </c>
      <c r="CT66" s="96">
        <f t="shared" ca="1" si="1704"/>
        <v>109.18639200000001</v>
      </c>
      <c r="CU66" s="96">
        <f t="shared" ca="1" si="1704"/>
        <v>116.20315199999999</v>
      </c>
      <c r="CV66" s="96">
        <f t="shared" ca="1" si="1704"/>
        <v>123.97239599999999</v>
      </c>
      <c r="CW66" s="96">
        <f t="shared" ca="1" si="1704"/>
        <v>132.14985599999997</v>
      </c>
      <c r="CX66" s="96">
        <f t="shared" ca="1" si="1704"/>
        <v>140.86255199999999</v>
      </c>
      <c r="CY66" s="96">
        <f t="shared" ca="1" si="1704"/>
        <v>149.27302799999998</v>
      </c>
      <c r="CZ66" s="96">
        <f t="shared" ca="1" si="1704"/>
        <v>155.60650799999999</v>
      </c>
      <c r="DA66" s="96">
        <f t="shared" ca="1" si="1704"/>
        <v>161.80333199999998</v>
      </c>
      <c r="DB66" s="96">
        <f t="shared" ca="1" si="1704"/>
        <v>168.12367199999997</v>
      </c>
      <c r="DC66" s="96">
        <f t="shared" ca="1" si="1704"/>
        <v>174.651624</v>
      </c>
      <c r="DD66" s="96">
        <f t="shared" ca="1" si="1704"/>
        <v>182.13879599999999</v>
      </c>
      <c r="DE66" s="96">
        <f t="shared" ca="1" si="1703"/>
        <v>189.735468</v>
      </c>
      <c r="DF66" s="96">
        <f t="shared" ca="1" si="1703"/>
        <v>197.14730399999999</v>
      </c>
      <c r="DG66" s="96">
        <f t="shared" ca="1" si="1703"/>
        <v>204.63622800000005</v>
      </c>
      <c r="DH66" s="96">
        <f t="shared" ca="1" si="1703"/>
        <v>212.39408399999999</v>
      </c>
      <c r="DI66" s="96">
        <f t="shared" ca="1" si="1703"/>
        <v>219.31360799999999</v>
      </c>
      <c r="DJ66" s="96">
        <f t="shared" ca="1" si="1703"/>
        <v>231.85179599999998</v>
      </c>
      <c r="DK66" s="96">
        <f t="shared" ca="1" si="1703"/>
        <v>300.627432</v>
      </c>
      <c r="DL66" s="96">
        <f t="shared" ca="1" si="1703"/>
        <v>407.09909999999991</v>
      </c>
    </row>
    <row r="67" spans="92:116" x14ac:dyDescent="0.25">
      <c r="CN67" t="str">
        <f>B57</f>
        <v>Rural</v>
      </c>
      <c r="CO67" s="96">
        <f t="shared" ca="1" si="1704"/>
        <v>4.5797279999999994</v>
      </c>
      <c r="CP67" s="96">
        <f t="shared" ca="1" si="1703"/>
        <v>5.2227119999999996</v>
      </c>
      <c r="CQ67" s="96">
        <f t="shared" ca="1" si="1703"/>
        <v>5.9147519999999991</v>
      </c>
      <c r="CR67" s="96">
        <f t="shared" ca="1" si="1703"/>
        <v>6.6856320000000009</v>
      </c>
      <c r="CS67" s="96">
        <f t="shared" ca="1" si="1703"/>
        <v>7.4486280000000002</v>
      </c>
      <c r="CT67" s="96">
        <f t="shared" ca="1" si="1703"/>
        <v>8.3246280000000006</v>
      </c>
      <c r="CU67" s="96">
        <f t="shared" ca="1" si="1703"/>
        <v>8.9334479999999985</v>
      </c>
      <c r="CV67" s="96">
        <f t="shared" ca="1" si="1703"/>
        <v>9.6123480000000026</v>
      </c>
      <c r="CW67" s="96">
        <f t="shared" ca="1" si="1703"/>
        <v>10.351691999999998</v>
      </c>
      <c r="CX67" s="96">
        <f t="shared" ca="1" si="1703"/>
        <v>11.155860000000001</v>
      </c>
      <c r="CY67" s="96">
        <f t="shared" ca="1" si="1703"/>
        <v>11.963531999999997</v>
      </c>
      <c r="CZ67" s="96">
        <f t="shared" ca="1" si="1703"/>
        <v>12.975312000000002</v>
      </c>
      <c r="DA67" s="96">
        <f t="shared" ca="1" si="1703"/>
        <v>14.009868000000001</v>
      </c>
      <c r="DB67" s="96">
        <f t="shared" ca="1" si="1703"/>
        <v>15.079463999999998</v>
      </c>
      <c r="DC67" s="96">
        <f t="shared" ca="1" si="1703"/>
        <v>16.194611999999999</v>
      </c>
      <c r="DD67" s="96">
        <f t="shared" ca="1" si="1703"/>
        <v>17.421011999999997</v>
      </c>
      <c r="DE67" s="96">
        <f t="shared" ca="1" si="1703"/>
        <v>18.690336000000002</v>
      </c>
      <c r="DF67" s="96">
        <f t="shared" ca="1" si="1703"/>
        <v>19.972799999999999</v>
      </c>
      <c r="DG67" s="96">
        <f t="shared" ca="1" si="1703"/>
        <v>21.292931999999997</v>
      </c>
      <c r="DH67" s="96">
        <f t="shared" ca="1" si="1703"/>
        <v>22.67088</v>
      </c>
      <c r="DI67" s="96">
        <f t="shared" ca="1" si="1703"/>
        <v>23.985755999999995</v>
      </c>
      <c r="DJ67" s="96">
        <f t="shared" ca="1" si="1703"/>
        <v>25.242815999999998</v>
      </c>
      <c r="DK67" s="96">
        <f t="shared" ca="1" si="1703"/>
        <v>31.463291999999999</v>
      </c>
      <c r="DL67" s="96">
        <f t="shared" ca="1" si="1703"/>
        <v>40.868027999999995</v>
      </c>
    </row>
    <row r="68" spans="92:116" x14ac:dyDescent="0.25">
      <c r="CO68" s="83">
        <f ca="1">CO65/SUM(CO65:CO67)</f>
        <v>0.66090697291025768</v>
      </c>
      <c r="CP68" s="83">
        <f t="shared" ref="CP68:DL68" ca="1" si="1705">CP65/SUM(CP65:CP67)</f>
        <v>0.65936493548203134</v>
      </c>
      <c r="CQ68" s="83">
        <f t="shared" ca="1" si="1705"/>
        <v>0.65800840751874046</v>
      </c>
      <c r="CR68" s="83">
        <f t="shared" ca="1" si="1705"/>
        <v>0.65668634981241814</v>
      </c>
      <c r="CS68" s="83">
        <f t="shared" ca="1" si="1705"/>
        <v>0.65526445819369261</v>
      </c>
      <c r="CT68" s="83">
        <f t="shared" ca="1" si="1705"/>
        <v>0.65421912215039124</v>
      </c>
      <c r="CU68" s="83">
        <f t="shared" ca="1" si="1705"/>
        <v>0.64568296252201318</v>
      </c>
      <c r="CV68" s="83">
        <f t="shared" ca="1" si="1705"/>
        <v>0.63704262596306505</v>
      </c>
      <c r="CW68" s="83">
        <f t="shared" ca="1" si="1705"/>
        <v>0.62880808680076217</v>
      </c>
      <c r="CX68" s="83">
        <f t="shared" ca="1" si="1705"/>
        <v>0.62075958661774377</v>
      </c>
      <c r="CY68" s="83">
        <f t="shared" ca="1" si="1705"/>
        <v>0.61286794476753359</v>
      </c>
      <c r="CZ68" s="83">
        <f t="shared" ca="1" si="1705"/>
        <v>0.60874904192359369</v>
      </c>
      <c r="DA68" s="83">
        <f t="shared" ca="1" si="1705"/>
        <v>0.60466989838026941</v>
      </c>
      <c r="DB68" s="83">
        <f t="shared" ca="1" si="1705"/>
        <v>0.60060729324815954</v>
      </c>
      <c r="DC68" s="83">
        <f t="shared" ca="1" si="1705"/>
        <v>0.59662317415704336</v>
      </c>
      <c r="DD68" s="83">
        <f t="shared" ca="1" si="1705"/>
        <v>0.59270542801973825</v>
      </c>
      <c r="DE68" s="83">
        <f t="shared" ca="1" si="1705"/>
        <v>0.58881413518917602</v>
      </c>
      <c r="DF68" s="83">
        <f t="shared" ca="1" si="1705"/>
        <v>0.58498641201971135</v>
      </c>
      <c r="DG68" s="83">
        <f t="shared" ca="1" si="1705"/>
        <v>0.58121703774908429</v>
      </c>
      <c r="DH68" s="83">
        <f t="shared" ca="1" si="1705"/>
        <v>0.57750605780539765</v>
      </c>
      <c r="DI68" s="83">
        <f t="shared" ca="1" si="1705"/>
        <v>0.57387353937549079</v>
      </c>
      <c r="DJ68" s="83">
        <f t="shared" ca="1" si="1705"/>
        <v>0.57208406478365592</v>
      </c>
      <c r="DK68" s="83">
        <f t="shared" ca="1" si="1705"/>
        <v>0.55608496586611089</v>
      </c>
      <c r="DL68" s="83">
        <f t="shared" ca="1" si="1705"/>
        <v>0.53850666098724487</v>
      </c>
    </row>
    <row r="69" spans="92:116" x14ac:dyDescent="0.25">
      <c r="DI69" s="83">
        <f ca="1">DI67/SUM(DI65:DI67)</f>
        <v>4.2009831598586005E-2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2:O59"/>
  <sheetViews>
    <sheetView workbookViewId="0"/>
  </sheetViews>
  <sheetFormatPr defaultRowHeight="15" x14ac:dyDescent="0.25"/>
  <cols>
    <col min="2" max="2" width="12.5703125" customWidth="1"/>
    <col min="3" max="3" width="12.85546875" customWidth="1"/>
    <col min="12" max="13" width="9.5703125" bestFit="1" customWidth="1"/>
    <col min="14" max="14" width="9.28515625" bestFit="1" customWidth="1"/>
  </cols>
  <sheetData>
    <row r="2" spans="2:10" x14ac:dyDescent="0.25">
      <c r="D2" s="93" t="s">
        <v>181</v>
      </c>
      <c r="G2" s="93" t="s">
        <v>144</v>
      </c>
    </row>
    <row r="3" spans="2:10" x14ac:dyDescent="0.25">
      <c r="D3" t="s">
        <v>145</v>
      </c>
      <c r="E3" t="s">
        <v>147</v>
      </c>
      <c r="F3" t="s">
        <v>150</v>
      </c>
      <c r="G3" t="str">
        <f>D3</f>
        <v>Industry</v>
      </c>
      <c r="H3" t="str">
        <f t="shared" ref="H3:I3" si="0">E3</f>
        <v>Urban</v>
      </c>
      <c r="I3" t="str">
        <f t="shared" si="0"/>
        <v>Rural</v>
      </c>
      <c r="J3" t="s">
        <v>182</v>
      </c>
    </row>
    <row r="4" spans="2:10" x14ac:dyDescent="0.25">
      <c r="B4" t="s">
        <v>13</v>
      </c>
      <c r="C4" t="s">
        <v>97</v>
      </c>
      <c r="D4" t="str">
        <f ca="1">VLOOKUP(D$3&amp;$C4,DemandBreakdown!$A$5:$DL$68,DemandBreakdown!$CN$2,FALSE)</f>
        <v xml:space="preserve">202.2 228.3 255.6 284.9 317 351 383.8 419.1 457 497.7 538.8 575.8 614.6 655.3 697.7 742 784.2 826.6 871.5 922.5 980.5 982.3 1351.4 1592.6 </v>
      </c>
      <c r="E4" t="str">
        <f ca="1">VLOOKUP(E$3&amp;$C4,DemandBreakdown!$A$5:$DL$68,DemandBreakdown!$CN$2,FALSE)</f>
        <v xml:space="preserve">374.2 404.1 433.1 462.3 493 523.5 547.2 571.4 595.8 620.6 642.6 676.9 712.3 748.5 785.6 823.6 858 891.3 926.3 966.4 1012.4 1003.6 1255.9 1332 </v>
      </c>
      <c r="F4" t="str">
        <f ca="1">VLOOKUP(F$3&amp;$C4,DemandBreakdown!$A$5:$DL$68,DemandBreakdown!$CN$2,FALSE)</f>
        <v xml:space="preserve">9.6 11.7 14.1 16.7 19.7 23 28.1 33.8 40.2 47.3 55 58 61.1 64.3 67.5 70.9 74 77 80.2 83.8 88 87.7 115 128.7 </v>
      </c>
      <c r="G4" t="str">
        <f>VLOOKUP(G$3&amp;$C4,DemandBreakdown!$A$5:$DM$68,DemandBreakdown!$DM$2,FALSE)</f>
        <v xml:space="preserve">0.98 0.98 0.98 0.98 0.98 0.98 0.98 0.98 0.98 0.98 0.98 0.981 0.982 0.983 0.984 0.985 0.986 0.987 0.988 0.989 0.99 0.99 0.99 0.99 </v>
      </c>
      <c r="H4" t="str">
        <f>VLOOKUP(H$3&amp;$C4,DemandBreakdown!$A$5:$DM$68,DemandBreakdown!$DM$2,FALSE)</f>
        <v xml:space="preserve">0.8 0.805 0.81 0.815 0.82 0.825 0.83 0.835 0.84 0.845 0.85 0.857 0.864 0.871 0.878 0.885 0.892 0.899 0.906 0.913 0.92 0.92 0.92 0.92 </v>
      </c>
      <c r="I4" t="str">
        <f>VLOOKUP(I$3&amp;$C4,DemandBreakdown!$A$5:$DM$68,DemandBreakdown!$DM$2,FALSE)</f>
        <v xml:space="preserve">0.7 0.71 0.72 0.73 0.74 0.75 0.76 0.77 0.78 0.79 0.8 0.8 0.8 0.8 0.8 0.8 0.8 0.8 0.8 0.8 0.8 0.8 0.8 0.8 </v>
      </c>
      <c r="J4" s="91">
        <f>1-DemandBreakdown!AK5</f>
        <v>0.95</v>
      </c>
    </row>
    <row r="5" spans="2:10" x14ac:dyDescent="0.25">
      <c r="B5" t="s">
        <v>14</v>
      </c>
      <c r="C5" t="s">
        <v>98</v>
      </c>
      <c r="D5" t="str">
        <f ca="1">VLOOKUP(D$3&amp;$C5,DemandBreakdown!$A$5:$DL$68,DemandBreakdown!$CN$2,FALSE)</f>
        <v xml:space="preserve">224.3 247.7 259.1 280.1 299.4 312.6 319.6 350 369.8 399.6 406.2 412.6 419 425.2 431.4 437.4 443.4 449.6 455.8 461.3 463.2 458.6 383.1 277.4 </v>
      </c>
      <c r="E5" t="str">
        <f ca="1">VLOOKUP(E$3&amp;$C5,DemandBreakdown!$A$5:$DL$68,DemandBreakdown!$CN$2,FALSE)</f>
        <v xml:space="preserve">188.7 200.1 201.1 208.6 214 214.3 218 237.5 249.6 268.3 271.3 275.9 280.5 285 289.5 293.9 298.3 302.8 307.3 311.4 313 327 439.7 558.5 </v>
      </c>
      <c r="F5" t="str">
        <f ca="1">VLOOKUP(F$3&amp;$C5,DemandBreakdown!$A$5:$DL$68,DemandBreakdown!$CN$2,FALSE)</f>
        <v xml:space="preserve">7.4 8.8 9.8 11.3 12.8 14 16.2 19.8 23.1 27.3 30.1 30.6 31 31.5 31.9 32.3 32.7 33.1 33.6 33.9 34 34.5 36.4 37.4 </v>
      </c>
      <c r="G5" t="str">
        <f>VLOOKUP(G$3&amp;$C5,DemandBreakdown!$A$5:$DM$68,DemandBreakdown!$DM$2,FALSE)</f>
        <v xml:space="preserve">0.97 0.971 0.972 0.973 0.974 0.975 0.976 0.977 0.978 0.979 0.98 0.981 0.982 0.983 0.984 0.985 0.986 0.987 0.988 0.989 0.99 0.99 0.99 0.99 </v>
      </c>
      <c r="H5" t="str">
        <f>VLOOKUP(H$3&amp;$C5,DemandBreakdown!$A$5:$DM$68,DemandBreakdown!$DM$2,FALSE)</f>
        <v xml:space="preserve">0.85 0.855 0.86 0.865 0.87 0.875 0.88 0.885 0.89 0.895 0.9 0.902 0.904 0.906 0.908 0.91 0.912 0.914 0.916 0.918 0.92 0.92 0.92 0.92 </v>
      </c>
      <c r="I5" t="str">
        <f>VLOOKUP(I$3&amp;$C5,DemandBreakdown!$A$5:$DM$68,DemandBreakdown!$DM$2,FALSE)</f>
        <v xml:space="preserve">0.8 0.8 0.8 0.8 0.8 0.8 0.8 0.8 0.8 0.8 0.8 0.8 0.8 0.8 0.8 0.8 0.8 0.8 0.8 0.8 0.8 0.8 0.8 0.8 </v>
      </c>
      <c r="J5" s="91">
        <f>J4</f>
        <v>0.95</v>
      </c>
    </row>
    <row r="6" spans="2:10" x14ac:dyDescent="0.25">
      <c r="B6" t="s">
        <v>15</v>
      </c>
      <c r="C6" t="s">
        <v>32</v>
      </c>
      <c r="D6" t="str">
        <f ca="1">VLOOKUP(D$3&amp;$C6,DemandBreakdown!$A$5:$DL$68,DemandBreakdown!$CN$2,FALSE)</f>
        <v xml:space="preserve">444.5 501.9 565.7 636.6 715.2 802.4 899 1006 1124.5 1255.5 1400.4 1525.7 1662 1810.4 1971.9 2127.9 2274.5 2431.2 2598.5 2777.2 2968 3146.1 3995.8 4129.8 </v>
      </c>
      <c r="E6" t="str">
        <f ca="1">VLOOKUP(E$3&amp;$C6,DemandBreakdown!$A$5:$DL$68,DemandBreakdown!$CN$2,FALSE)</f>
        <v xml:space="preserve">404.8 427.4 450.3 473.2 496 518.5 537.5 555.1 570.7 583.7 593.6 631.8 672.3 715.1 760.4 800.9 835.3 871 907.8 945.8 985.1 1044.2 1326.2 1370.7 </v>
      </c>
      <c r="F6" t="str">
        <f ca="1">VLOOKUP(F$3&amp;$C6,DemandBreakdown!$A$5:$DL$68,DemandBreakdown!$CN$2,FALSE)</f>
        <v xml:space="preserve">16.3 19.4 22.8 26.7 31 35.9 44 53.1 63.3 74.9 87.9 95 102.6 110.8 119.6 128 135.7 143.8 152.5 161.6 171.3 181.6 230.6 238.4 </v>
      </c>
      <c r="G6" t="str">
        <f>VLOOKUP(G$3&amp;$C6,DemandBreakdown!$A$5:$DM$68,DemandBreakdown!$DM$2,FALSE)</f>
        <v xml:space="preserve">0.97 0.971 0.972 0.973 0.974 0.975 0.976 0.977 0.978 0.979 0.98 0.981 0.982 0.983 0.984 0.985 0.986 0.987 0.988 0.989 0.99 0.99 0.99 0.99 </v>
      </c>
      <c r="H6" t="str">
        <f>VLOOKUP(H$3&amp;$C6,DemandBreakdown!$A$5:$DM$68,DemandBreakdown!$DM$2,FALSE)</f>
        <v xml:space="preserve">0.75 0.765 0.78 0.795 0.81 0.825 0.84 0.855 0.87 0.885 0.9 0.902 0.904 0.906 0.908 0.91 0.912 0.914 0.916 0.918 0.92 0.92 0.92 0.92 </v>
      </c>
      <c r="I6" t="str">
        <f>VLOOKUP(I$3&amp;$C6,DemandBreakdown!$A$5:$DM$68,DemandBreakdown!$DM$2,FALSE)</f>
        <v xml:space="preserve">0.8 0.8 0.8 0.8 0.8 0.8 0.8 0.8 0.8 0.8 0.8 0.8 0.8 0.8 0.8 0.8 0.8 0.8 0.8 0.8 0.8 0.8 0.8 0.8 </v>
      </c>
      <c r="J6" s="91">
        <f t="shared" ref="J6:J15" si="1">J5</f>
        <v>0.95</v>
      </c>
    </row>
    <row r="7" spans="2:10" x14ac:dyDescent="0.25">
      <c r="B7" t="s">
        <v>16</v>
      </c>
      <c r="C7" t="s">
        <v>99</v>
      </c>
      <c r="D7" t="str">
        <f ca="1">VLOOKUP(D$3&amp;$C7,DemandBreakdown!$A$5:$DL$68,DemandBreakdown!$CN$2,FALSE)</f>
        <v xml:space="preserve">6.1 7 8 9 10.1 11.3 12.5 13.9 15.3 16.8 18.4 19.2 20 20.9 21.8 22.7 23.7 24.7 25.8 26.9 28.1 29 43.4 67.7 </v>
      </c>
      <c r="E7" t="str">
        <f ca="1">VLOOKUP(E$3&amp;$C7,DemandBreakdown!$A$5:$DL$68,DemandBreakdown!$CN$2,FALSE)</f>
        <v xml:space="preserve">48.4 49.8 51.3 52.8 54.3 55.9 57.4 58.9 60.3 61.9 63.4 66.2 69.1 72.1 75.3 78.7 82.1 85.8 89.7 93.8 97.9 101.1 151.4 236.1 </v>
      </c>
      <c r="F7" t="str">
        <f ca="1">VLOOKUP(F$3&amp;$C7,DemandBreakdown!$A$5:$DL$68,DemandBreakdown!$CN$2,FALSE)</f>
        <v xml:space="preserve">0.9 1.1 1.2 1.4 1.6 1.8 2.1 2.5 2.9 3.3 3.8 3.9 4.1 4.2 4.4 4.6 4.8 5 5.2 5.4 5.7 5.9 8.8 13.7 </v>
      </c>
      <c r="G7" t="str">
        <f>VLOOKUP(G$3&amp;$C7,DemandBreakdown!$A$5:$DM$68,DemandBreakdown!$DM$2,FALSE)</f>
        <v xml:space="preserve">0.98 0.98 0.98 0.98 0.98 0.98 0.98 0.98 0.98 0.98 0.98 0.981 0.982 0.983 0.984 0.985 0.986 0.987 0.988 0.989 0.99 0.99 0.99 0.99 </v>
      </c>
      <c r="H7" t="str">
        <f>VLOOKUP(H$3&amp;$C7,DemandBreakdown!$A$5:$DM$68,DemandBreakdown!$DM$2,FALSE)</f>
        <v xml:space="preserve">0.88 0.882 0.884 0.886 0.888 0.89 0.892 0.894 0.896 0.898 0.9 0.902 0.904 0.906 0.908 0.91 0.912 0.914 0.916 0.918 0.92 0.92 0.92 0.92 </v>
      </c>
      <c r="I7" t="str">
        <f>VLOOKUP(I$3&amp;$C7,DemandBreakdown!$A$5:$DM$68,DemandBreakdown!$DM$2,FALSE)</f>
        <v xml:space="preserve">0.75 0.755 0.76 0.765 0.77 0.775 0.78 0.785 0.79 0.795 0.8 0.8 0.8 0.8 0.8 0.8 0.8 0.8 0.8 0.8 0.8 0.8 0.8 0.8 </v>
      </c>
      <c r="J7" s="91">
        <f t="shared" si="1"/>
        <v>0.95</v>
      </c>
    </row>
    <row r="8" spans="2:10" x14ac:dyDescent="0.25">
      <c r="B8" t="s">
        <v>17</v>
      </c>
      <c r="C8" t="s">
        <v>100</v>
      </c>
      <c r="D8" t="str">
        <f ca="1">VLOOKUP(D$3&amp;$C8,DemandBreakdown!$A$5:$DL$68,DemandBreakdown!$CN$2,FALSE)</f>
        <v xml:space="preserve">59.5 73.3 76.8 80.3 83.8 87.3 91.7 96.3 101.1 106.1 111.4 117.1 123.1 129.4 136 142.9 150.2 157.9 166 174.4 183.3 192.5 298.7 486.5 </v>
      </c>
      <c r="E8" t="str">
        <f ca="1">VLOOKUP(E$3&amp;$C8,DemandBreakdown!$A$5:$DL$68,DemandBreakdown!$CN$2,FALSE)</f>
        <v xml:space="preserve">87.5 108.7 115 121.2 127.7 134.1 141.6 149.4 157.6 166.3 175.4 184.6 194.3 204.4 215.1 226.4 238.2 250.7 263.8 277.6 292.1 306.7 475.8 775 </v>
      </c>
      <c r="F8" t="str">
        <f ca="1">VLOOKUP(F$3&amp;$C8,DemandBreakdown!$A$5:$DL$68,DemandBreakdown!$CN$2,FALSE)</f>
        <v xml:space="preserve">2.4 3.3 3.9 4.4 5.1 5.7 6.9 8.2 9.7 11.2 13 13.6 14.3 15 15.8 16.6 17.4 18.3 19.2 20.2 21.2 22.2 34.5 56.2 </v>
      </c>
      <c r="G8" t="str">
        <f>VLOOKUP(G$3&amp;$C8,DemandBreakdown!$A$5:$DM$68,DemandBreakdown!$DM$2,FALSE)</f>
        <v xml:space="preserve">0.98 0.98 0.98 0.98 0.98 0.98 0.98 0.98 0.98 0.98 0.98 0.981 0.982 0.983 0.984 0.985 0.986 0.987 0.988 0.989 0.99 0.99 0.99 0.99 </v>
      </c>
      <c r="H8" t="str">
        <f>VLOOKUP(H$3&amp;$C8,DemandBreakdown!$A$5:$DM$68,DemandBreakdown!$DM$2,FALSE)</f>
        <v xml:space="preserve">0.8 0.81 0.82 0.83 0.84 0.85 0.86 0.87 0.88 0.89 0.9 0.902 0.904 0.906 0.908 0.91 0.912 0.914 0.916 0.918 0.92 0.92 0.92 0.92 </v>
      </c>
      <c r="I8" t="str">
        <f>VLOOKUP(I$3&amp;$C8,DemandBreakdown!$A$5:$DM$68,DemandBreakdown!$DM$2,FALSE)</f>
        <v xml:space="preserve">0.7 0.71 0.72 0.73 0.74 0.75 0.76 0.77 0.78 0.79 0.8 0.8 0.8 0.8 0.8 0.8 0.8 0.8 0.8 0.8 0.8 0.8 0.8 0.8 </v>
      </c>
      <c r="J8" s="91">
        <f t="shared" si="1"/>
        <v>0.95</v>
      </c>
    </row>
    <row r="9" spans="2:10" x14ac:dyDescent="0.25">
      <c r="B9" t="s">
        <v>18</v>
      </c>
      <c r="C9" t="s">
        <v>101</v>
      </c>
      <c r="D9" t="str">
        <f ca="1">VLOOKUP(D$3&amp;$C9,DemandBreakdown!$A$5:$DL$68,DemandBreakdown!$CN$2,FALSE)</f>
        <v xml:space="preserve">309.7 325.6 343.8 355.2 367.8 380.5 390 401.7 412.5 423.6 434.8 446.2 457.9 469.7 481.7 494 506.4 519 531.8 544.8 558 578 796.6 1135.2 </v>
      </c>
      <c r="E9" t="str">
        <f ca="1">VLOOKUP(E$3&amp;$C9,DemandBreakdown!$A$5:$DL$68,DemandBreakdown!$CN$2,FALSE)</f>
        <v xml:space="preserve">51.4 58.3 66.2 73.6 81.7 90.6 98.4 107.4 116.7 126.7 137.5 149.9 163.3 177.5 192.8 209.1 226.5 245.1 264.9 286.1 308.7 323.3 490.2 775 </v>
      </c>
      <c r="F9" t="str">
        <f ca="1">VLOOKUP(F$3&amp;$C9,DemandBreakdown!$A$5:$DL$68,DemandBreakdown!$CN$2,FALSE)</f>
        <v xml:space="preserve">5.7 6.8 8 9.2 10.5 12 14.2 16.8 19.6 22.6 25.9 26.9 28 29.1 30.3 31.5 32.8 34.1 35.4 36.9 38.3 39.9 56.8 84.2 </v>
      </c>
      <c r="G9" t="str">
        <f>VLOOKUP(G$3&amp;$C9,DemandBreakdown!$A$5:$DM$68,DemandBreakdown!$DM$2,FALSE)</f>
        <v xml:space="preserve">0.95 0.951 0.952 0.953 0.954 0.955 0.956 0.957 0.958 0.959 0.96 0.961 0.962 0.963 0.964 0.965 0.966 0.967 0.968 0.969 0.97 0.9705 0.975 0.98 </v>
      </c>
      <c r="H9" t="str">
        <f>VLOOKUP(H$3&amp;$C9,DemandBreakdown!$A$5:$DM$68,DemandBreakdown!$DM$2,FALSE)</f>
        <v xml:space="preserve">0.7 0.715 0.73 0.745 0.76 0.775 0.79 0.805 0.82 0.835 0.85 0.857 0.864 0.871 0.878 0.885 0.892 0.899 0.906 0.913 0.92 0.92 0.92 0.92 </v>
      </c>
      <c r="I9" t="str">
        <f>VLOOKUP(I$3&amp;$C9,DemandBreakdown!$A$5:$DM$68,DemandBreakdown!$DM$2,FALSE)</f>
        <v xml:space="preserve">0.7 0.71 0.72 0.73 0.74 0.75 0.76 0.77 0.78 0.79 0.8 0.8 0.8 0.8 0.8 0.8 0.8 0.8 0.8 0.8 0.8 0.8 0.8 0.8 </v>
      </c>
      <c r="J9" s="91">
        <f t="shared" si="1"/>
        <v>0.95</v>
      </c>
    </row>
    <row r="10" spans="2:10" x14ac:dyDescent="0.25">
      <c r="B10" t="s">
        <v>19</v>
      </c>
      <c r="C10" t="s">
        <v>102</v>
      </c>
      <c r="D10" t="str">
        <f ca="1">VLOOKUP(D$3&amp;$C10,DemandBreakdown!$A$5:$DL$68,DemandBreakdown!$CN$2,FALSE)</f>
        <v xml:space="preserve">237 241 246.9 251.5 257.9 265.6 269.6 273.3 277.6 281.9 286.1 295.8 305.8 316.2 327 337.9 350.1 361.7 373.5 386.1 397.6 417.5 514.7 664.8 </v>
      </c>
      <c r="E10" t="str">
        <f ca="1">VLOOKUP(E$3&amp;$C10,DemandBreakdown!$A$5:$DL$68,DemandBreakdown!$CN$2,FALSE)</f>
        <v xml:space="preserve">122.5 125.5 129.5 132.8 137.1 142.1 150.8 159.8 169.7 180.1 191.1 197.8 204.8 212 219.5 227 235.5 243.6 251.9 260.6 268.7 285.2 387.2 556 </v>
      </c>
      <c r="F10" t="str">
        <f ca="1">VLOOKUP(F$3&amp;$C10,DemandBreakdown!$A$5:$DL$68,DemandBreakdown!$CN$2,FALSE)</f>
        <v xml:space="preserve">6 6.8 7.7 8.5 9.5 10.5 12.4 14.3 16.5 18.8 21.2 21.9 22.7 23.4 24.2 24.9 25.8 26.7 27.5 28.4 29.2 30.8 39.6 53.7 </v>
      </c>
      <c r="G10" t="str">
        <f>VLOOKUP(G$3&amp;$C10,DemandBreakdown!$A$5:$DM$68,DemandBreakdown!$DM$2,FALSE)</f>
        <v xml:space="preserve">0.98 0.98 0.98 0.98 0.98 0.98 0.98 0.98 0.98 0.98 0.98 0.981 0.982 0.983 0.984 0.985 0.986 0.987 0.988 0.989 0.99 0.99 0.99 0.99 </v>
      </c>
      <c r="H10" t="str">
        <f>VLOOKUP(H$3&amp;$C10,DemandBreakdown!$A$5:$DM$68,DemandBreakdown!$DM$2,FALSE)</f>
        <v xml:space="preserve">0.8 0.81 0.82 0.83 0.84 0.85 0.86 0.87 0.88 0.89 0.9 0.902 0.904 0.906 0.908 0.91 0.912 0.914 0.916 0.918 0.92 0.92 0.92 0.92 </v>
      </c>
      <c r="I10" t="str">
        <f>VLOOKUP(I$3&amp;$C10,DemandBreakdown!$A$5:$DM$68,DemandBreakdown!$DM$2,FALSE)</f>
        <v xml:space="preserve">0.75 0.755 0.76 0.765 0.77 0.775 0.78 0.785 0.79 0.795 0.8 0.8 0.8 0.8 0.8 0.8 0.8 0.8 0.8 0.8 0.8 0.8 0.8 0.8 </v>
      </c>
      <c r="J10" s="91">
        <f t="shared" si="1"/>
        <v>0.95</v>
      </c>
    </row>
    <row r="11" spans="2:10" x14ac:dyDescent="0.25">
      <c r="B11" t="s">
        <v>20</v>
      </c>
      <c r="C11" t="s">
        <v>107</v>
      </c>
      <c r="D11" t="str">
        <f ca="1">VLOOKUP(D$3&amp;$C11,DemandBreakdown!$A$5:$DL$68,DemandBreakdown!$CN$2,FALSE)</f>
        <v xml:space="preserve">18274.7 18768.7 19313.9 19985.5 20453.3 21151.3 21508.4 21891.5 22327.3 22785.2 23126.5 23588.7 23980.5 24341.7 24698.5 25202.5 25696.8 26114 26497.2 26875.3 27063.3 28413.5 32462.6 39219.9 </v>
      </c>
      <c r="E11" t="str">
        <f ca="1">VLOOKUP(E$3&amp;$C11,DemandBreakdown!$A$5:$DL$68,DemandBreakdown!$CN$2,FALSE)</f>
        <v xml:space="preserve">7778.5 8007.3 8258.1 8563.3 8781.3 9098.2 9768.4 10489.8 11280 12129.5 12964.9 13473.1 13954.9 14432 14919.6 15511.1 16113.7 16684.4 17249.2 17826.2 18290.7 19411.5 24421.1 32802.1 </v>
      </c>
      <c r="F11" t="str">
        <f ca="1">VLOOKUP(F$3&amp;$C11,DemandBreakdown!$A$5:$DL$68,DemandBreakdown!$CN$2,FALSE)</f>
        <v xml:space="preserve">426 484.5 547.5 617.7 685.3 764.2 794.3 826.6 862.1 899.9 934.4 1025.2 1116.7 1210.5 1307.6 1416.7 1530.1 1643.4 1758.8 1878.3 1988.1 2096.8 2498.3 3169.3 </v>
      </c>
      <c r="G11" t="str">
        <f>VLOOKUP(G$3&amp;$C11,DemandBreakdown!$A$5:$DM$68,DemandBreakdown!$DM$2,FALSE)</f>
        <v xml:space="preserve">0.99 0.99 0.99 0.99 0.99 0.99 0.99 0.99 0.99 0.99 0.99 0.99 0.99 0.99 0.99 0.99 0.99 0.99 0.99 0.99 0.99 0.99 0.99 0.99 </v>
      </c>
      <c r="H11" t="str">
        <f>VLOOKUP(H$3&amp;$C11,DemandBreakdown!$A$5:$DM$68,DemandBreakdown!$DM$2,FALSE)</f>
        <v xml:space="preserve">0.83 0.837 0.844 0.851 0.858 0.865 0.872 0.879 0.886 0.893 0.9 0.902 0.904 0.906 0.908 0.91 0.912 0.914 0.916 0.918 0.92 0.92 0.92 0.92 </v>
      </c>
      <c r="I11" t="str">
        <f>VLOOKUP(I$3&amp;$C11,DemandBreakdown!$A$5:$DM$68,DemandBreakdown!$DM$2,FALSE)</f>
        <v xml:space="preserve">0.75 0.755 0.76 0.765 0.77 0.775 0.78 0.785 0.79 0.795 0.8 0.8 0.8 0.8 0.8 0.8 0.8 0.8 0.8 0.8 0.8 0.8 0.8 0.8 </v>
      </c>
      <c r="J11" s="91">
        <f t="shared" si="1"/>
        <v>0.95</v>
      </c>
    </row>
    <row r="12" spans="2:10" x14ac:dyDescent="0.25">
      <c r="B12" t="s">
        <v>21</v>
      </c>
      <c r="C12" t="s">
        <v>103</v>
      </c>
      <c r="D12" t="str">
        <f ca="1">VLOOKUP(D$3&amp;$C12,DemandBreakdown!$A$5:$DL$68,DemandBreakdown!$CN$2,FALSE)</f>
        <v xml:space="preserve">46.9 49.1 51.6 53.7 55.6 57.1 60.2 63.9 67 70.4 73.1 74.2 75 76 77 78.1 79.2 80.3 81.4 82.5 83.8 86.1 97.9 116.8 </v>
      </c>
      <c r="E12" t="str">
        <f ca="1">VLOOKUP(E$3&amp;$C12,DemandBreakdown!$A$5:$DL$68,DemandBreakdown!$CN$2,FALSE)</f>
        <v xml:space="preserve">73.3 76.8 80.9 84.5 87.7 90.2 91.6 93.5 94.4 95.6 95.7 96.8 97.7 98.8 99.9 101 102.2 103.3 104.5 105.7 107.1 110 125 149.2 </v>
      </c>
      <c r="F12" t="str">
        <f ca="1">VLOOKUP(F$3&amp;$C12,DemandBreakdown!$A$5:$DL$68,DemandBreakdown!$CN$2,FALSE)</f>
        <v xml:space="preserve">2.2 2.5 2.9 3.3 3.6 4 4.1 4.2 4.3 4.4 4.5 4.8 5.2 5.6 6 6.3 6.7 7.2 7.6 8 8.5 8.7 9.9 11.8 </v>
      </c>
      <c r="G12" t="str">
        <f>VLOOKUP(G$3&amp;$C12,DemandBreakdown!$A$5:$DM$68,DemandBreakdown!$DM$2,FALSE)</f>
        <v xml:space="preserve">0.98 0.98 0.98 0.98 0.98 0.98 0.98 0.98 0.98 0.98 0.98 0.981 0.982 0.983 0.984 0.985 0.986 0.987 0.988 0.989 0.99 0.99 0.99 0.99 </v>
      </c>
      <c r="H12" t="str">
        <f>VLOOKUP(H$3&amp;$C12,DemandBreakdown!$A$5:$DM$68,DemandBreakdown!$DM$2,FALSE)</f>
        <v xml:space="preserve">0.85 0.855 0.86 0.865 0.87 0.875 0.88 0.885 0.89 0.895 0.9 0.902 0.904 0.906 0.908 0.91 0.912 0.914 0.916 0.918 0.92 0.92 0.92 0.92 </v>
      </c>
      <c r="I12" t="str">
        <f>VLOOKUP(I$3&amp;$C12,DemandBreakdown!$A$5:$DM$68,DemandBreakdown!$DM$2,FALSE)</f>
        <v xml:space="preserve">0.8 0.8 0.8 0.8 0.8 0.8 0.8 0.8 0.8 0.8 0.8 0.8 0.8 0.8 0.8 0.8 0.8 0.8 0.8 0.8 0.8 0.8 0.8 0.8 </v>
      </c>
      <c r="J12" s="91">
        <f t="shared" si="1"/>
        <v>0.95</v>
      </c>
    </row>
    <row r="13" spans="2:10" x14ac:dyDescent="0.25">
      <c r="B13" t="s">
        <v>22</v>
      </c>
      <c r="C13" t="s">
        <v>104</v>
      </c>
      <c r="D13" t="str">
        <f ca="1">VLOOKUP(D$3&amp;$C13,DemandBreakdown!$A$5:$DL$68,DemandBreakdown!$CN$2,FALSE)</f>
        <v xml:space="preserve">103 112.7 128.6 149.3 171.3 196.3 220.5 254.2 284.7 315.5 349.2 380.3 414 454.8 499.5 548.4 602 660.7 725 795.3 872.2 948.7 1522.2 2428.8 </v>
      </c>
      <c r="E13" t="str">
        <f ca="1">VLOOKUP(E$3&amp;$C13,DemandBreakdown!$A$5:$DL$68,DemandBreakdown!$CN$2,FALSE)</f>
        <v xml:space="preserve">340.2 351.9 380.7 419.3 457.5 499.1 535.8 591.1 634.3 674.1 716.3 760.1 806.5 863.6 924.7 990 1059.7 1134.2 1213.8 1298.8 1389.5 1494.4 2169 3103.4 </v>
      </c>
      <c r="F13" t="str">
        <f ca="1">VLOOKUP(F$3&amp;$C13,DemandBreakdown!$A$5:$DL$68,DemandBreakdown!$CN$2,FALSE)</f>
        <v xml:space="preserve">7.9 9.1 10.9 13.2 15.7 18.6 20.3 22.6 24.6 26.5 28.5 32.5 37 42.3 48.2 54.8 62.2 70.3 79.4 89.5 100.7 108.7 164 245.3 </v>
      </c>
      <c r="G13" t="str">
        <f>VLOOKUP(G$3&amp;$C13,DemandBreakdown!$A$5:$DM$68,DemandBreakdown!$DM$2,FALSE)</f>
        <v xml:space="preserve">0.98 0.98 0.98 0.98 0.98 0.98 0.98 0.98 0.98 0.98 0.98 0.981 0.982 0.983 0.984 0.985 0.986 0.987 0.988 0.989 0.99 0.99 0.99 0.99 </v>
      </c>
      <c r="H13" t="str">
        <f>VLOOKUP(H$3&amp;$C13,DemandBreakdown!$A$5:$DM$68,DemandBreakdown!$DM$2,FALSE)</f>
        <v xml:space="preserve">0.83 0.837 0.844 0.851 0.858 0.865 0.872 0.879 0.886 0.893 0.9 0.902 0.904 0.906 0.908 0.91 0.912 0.914 0.916 0.918 0.92 0.92 0.92 0.92 </v>
      </c>
      <c r="I13" t="str">
        <f>VLOOKUP(I$3&amp;$C13,DemandBreakdown!$A$5:$DM$68,DemandBreakdown!$DM$2,FALSE)</f>
        <v xml:space="preserve">0.75 0.755 0.76 0.765 0.77 0.775 0.78 0.785 0.79 0.795 0.8 0.8 0.8 0.8 0.8 0.8 0.8 0.8 0.8 0.8 0.8 0.8 0.8 0.8 </v>
      </c>
      <c r="J13" s="91">
        <f t="shared" si="1"/>
        <v>0.95</v>
      </c>
    </row>
    <row r="14" spans="2:10" x14ac:dyDescent="0.25">
      <c r="B14" t="s">
        <v>23</v>
      </c>
      <c r="C14" t="s">
        <v>105</v>
      </c>
      <c r="D14" t="str">
        <f ca="1">VLOOKUP(D$3&amp;$C14,DemandBreakdown!$A$5:$DL$68,DemandBreakdown!$CN$2,FALSE)</f>
        <v xml:space="preserve">849.2 891.2 939.9 991.2 1045.2 1102.3 1173.8 1249.7 1330.3 1415.9 1506.8 1583.8 1664.7 1749.7 1839.1 1933 2031.8 2135.5 2244.6 2359.2 2479.7 2605.1 4059.8 6646.6 </v>
      </c>
      <c r="E14" t="str">
        <f ca="1">VLOOKUP(E$3&amp;$C14,DemandBreakdown!$A$5:$DL$68,DemandBreakdown!$CN$2,FALSE)</f>
        <v xml:space="preserve">420.2 442.6 468.3 495.5 524.1 554.3 567 579 590.1 600.3 609.4 645.2 682.9 722.9 765.2 809.8 857 906.9 959.7 1015.5 1074.4 1128.1 1750.1 2850.8 </v>
      </c>
      <c r="F14" t="str">
        <f ca="1">VLOOKUP(F$3&amp;$C14,DemandBreakdown!$A$5:$DL$68,DemandBreakdown!$CN$2,FALSE)</f>
        <v xml:space="preserve">20.6 21.9 23.3 24.8 26.4 28.1 38.9 50.9 64.3 79.1 95.6 100.4 105.4 110.7 116.2 122 128.1 134.5 141.2 148.3 155.7 163.5 253.6 413.2 </v>
      </c>
      <c r="G14" t="str">
        <f>VLOOKUP(G$3&amp;$C14,DemandBreakdown!$A$5:$DM$68,DemandBreakdown!$DM$2,FALSE)</f>
        <v xml:space="preserve">0.96 0.961 0.962 0.963 0.964 0.965 0.966 0.967 0.968 0.969 0.97 0.971 0.972 0.973 0.974 0.975 0.976 0.977 0.978 0.979 0.98 0.9805 0.985 0.99 </v>
      </c>
      <c r="H14" t="str">
        <f>VLOOKUP(H$3&amp;$C14,DemandBreakdown!$A$5:$DM$68,DemandBreakdown!$DM$2,FALSE)</f>
        <v xml:space="preserve">0.75 0.76 0.77 0.78 0.79 0.8 0.81 0.82 0.83 0.84 0.85 0.857 0.864 0.871 0.878 0.885 0.892 0.899 0.906 0.913 0.92 0.92 0.92 0.92 </v>
      </c>
      <c r="I14" t="str">
        <f>VLOOKUP(I$3&amp;$C14,DemandBreakdown!$A$5:$DM$68,DemandBreakdown!$DM$2,FALSE)</f>
        <v xml:space="preserve">0.7 0.71 0.72 0.73 0.74 0.75 0.76 0.77 0.78 0.79 0.8 0.8 0.8 0.8 0.8 0.8 0.8 0.8 0.8 0.8 0.8 0.8 0.8 0.8 </v>
      </c>
      <c r="J14" s="91">
        <f t="shared" si="1"/>
        <v>0.95</v>
      </c>
    </row>
    <row r="15" spans="2:10" x14ac:dyDescent="0.25">
      <c r="B15" t="s">
        <v>24</v>
      </c>
      <c r="C15" t="s">
        <v>106</v>
      </c>
      <c r="D15" t="str">
        <f ca="1">VLOOKUP(D$3&amp;$C15,DemandBreakdown!$A$5:$DL$68,DemandBreakdown!$CN$2,FALSE)</f>
        <v xml:space="preserve">490.2 521.1 553.7 588.1 624.4 662.6 702.9 745.3 790.1 837.2 886.8 923.2 961.1 1000.6 1041.6 1084.4 1128.9 1175.3 1223.5 1273.7 1326 1379.1 1962.9 2905.5 </v>
      </c>
      <c r="E15" t="str">
        <f ca="1">VLOOKUP(E$3&amp;$C15,DemandBreakdown!$A$5:$DL$68,DemandBreakdown!$CN$2,FALSE)</f>
        <v xml:space="preserve">488.9 500 511 521.9 532.7 543.4 551.5 559.2 566.4 573.1 579.1 605 632.1 660.3 689.8 720.6 752.8 786.3 821.4 858 896.2 932 1326.6 1963.7 </v>
      </c>
      <c r="F15" t="str">
        <f ca="1">VLOOKUP(F$3&amp;$C15,DemandBreakdown!$A$5:$DL$68,DemandBreakdown!$CN$2,FALSE)</f>
        <v xml:space="preserve">17.8 20.3 23.1 26 29.1 32.5 38.3 44.5 51.1 58.2 65.8 68.4 71.2 74 77 80.1 83.3 86.6 90.1 93.7 97.4 101.3 144.2 213.4 </v>
      </c>
      <c r="G15" t="str">
        <f>VLOOKUP(G$3&amp;$C15,DemandBreakdown!$A$5:$DM$68,DemandBreakdown!$DM$2,FALSE)</f>
        <v xml:space="preserve">0.98 0.98 0.98 0.98 0.98 0.98 0.98 0.98 0.98 0.98 0.98 0.981 0.982 0.983 0.984 0.985 0.986 0.987 0.988 0.989 0.99 0.99 0.99 0.99 </v>
      </c>
      <c r="H15" t="str">
        <f>VLOOKUP(H$3&amp;$C15,DemandBreakdown!$A$5:$DM$68,DemandBreakdown!$DM$2,FALSE)</f>
        <v xml:space="preserve">0.83 0.835 0.84 0.845 0.85 0.855 0.86 0.865 0.87 0.875 0.88 0.884 0.888 0.892 0.896 0.9 0.904 0.908 0.912 0.916 0.92 0.92 0.92 0.92 </v>
      </c>
      <c r="I15" t="str">
        <f>VLOOKUP(I$3&amp;$C15,DemandBreakdown!$A$5:$DM$68,DemandBreakdown!$DM$2,FALSE)</f>
        <v xml:space="preserve">0.8 0.8 0.8 0.8 0.8 0.8 0.8 0.8 0.8 0.8 0.8 0.8 0.8 0.8 0.8 0.8 0.8 0.8 0.8 0.8 0.8 0.8 0.8 0.8 </v>
      </c>
      <c r="J15" s="91">
        <f t="shared" si="1"/>
        <v>0.95</v>
      </c>
    </row>
    <row r="17" spans="1:15" x14ac:dyDescent="0.25">
      <c r="E17" t="s">
        <v>184</v>
      </c>
    </row>
    <row r="18" spans="1:15" x14ac:dyDescent="0.25">
      <c r="B18" t="s">
        <v>183</v>
      </c>
      <c r="C18">
        <v>2010</v>
      </c>
      <c r="E18" t="s">
        <v>145</v>
      </c>
      <c r="F18" t="s">
        <v>147</v>
      </c>
      <c r="G18" t="s">
        <v>150</v>
      </c>
    </row>
    <row r="19" spans="1:15" x14ac:dyDescent="0.25">
      <c r="A19">
        <v>1</v>
      </c>
      <c r="B19" t="s">
        <v>13</v>
      </c>
      <c r="C19" t="s">
        <v>97</v>
      </c>
      <c r="D19" s="24"/>
      <c r="E19">
        <f ca="1">SUMIF(DemandBreakdown!$A$5:$A$68,E$18&amp;$C19,OFFSET(DemandBreakdown!$BP$5,0,$C$18-2010,64,1))</f>
        <v>1902.8999999999999</v>
      </c>
      <c r="F19">
        <f ca="1">SUMIF(DemandBreakdown!$A$5:$A$68,F$18&amp;$C19,OFFSET(DemandBreakdown!$BP$5,0,$C$18-2010,64,1))</f>
        <v>4313.24</v>
      </c>
      <c r="G19">
        <f ca="1">SUMIF(DemandBreakdown!$A$5:$A$68,G$18&amp;$C19,OFFSET(DemandBreakdown!$BP$5,0,$C$18-2010,64,1))</f>
        <v>126.86</v>
      </c>
      <c r="H19" s="91"/>
      <c r="L19" s="23"/>
      <c r="M19" s="23"/>
      <c r="N19" s="23"/>
      <c r="O19" s="88"/>
    </row>
    <row r="20" spans="1:15" x14ac:dyDescent="0.25">
      <c r="A20">
        <v>2</v>
      </c>
      <c r="B20" t="s">
        <v>14</v>
      </c>
      <c r="C20" t="s">
        <v>98</v>
      </c>
      <c r="D20" s="24"/>
      <c r="E20">
        <f ca="1">SUMIF(DemandBreakdown!$A$5:$A$68,E$18&amp;$C20,OFFSET(DemandBreakdown!$BP$5,0,$C$18-2010,64,1))</f>
        <v>2101</v>
      </c>
      <c r="F20">
        <f ca="1">SUMIF(DemandBreakdown!$A$5:$A$68,F$18&amp;$C20,OFFSET(DemandBreakdown!$BP$5,0,$C$18-2010,64,1))</f>
        <v>2016.96</v>
      </c>
      <c r="G20">
        <f ca="1">SUMIF(DemandBreakdown!$A$5:$A$68,G$18&amp;$C20,OFFSET(DemandBreakdown!$BP$5,0,$C$18-2010,64,1))</f>
        <v>84.04</v>
      </c>
      <c r="H20" s="91"/>
      <c r="L20" s="23"/>
      <c r="M20" s="23"/>
      <c r="N20" s="23"/>
      <c r="O20" s="88"/>
    </row>
    <row r="21" spans="1:15" x14ac:dyDescent="0.25">
      <c r="A21">
        <v>3</v>
      </c>
      <c r="B21" t="s">
        <v>15</v>
      </c>
      <c r="C21" t="s">
        <v>32</v>
      </c>
      <c r="D21" s="24"/>
      <c r="E21">
        <f ca="1">SUMIF(DemandBreakdown!$A$5:$A$68,E$18&amp;$C21,OFFSET(DemandBreakdown!$BP$5,0,$C$18-2010,64,1))</f>
        <v>4225.5</v>
      </c>
      <c r="F21">
        <f ca="1">SUMIF(DemandBreakdown!$A$5:$A$68,F$18&amp;$C21,OFFSET(DemandBreakdown!$BP$5,0,$C$18-2010,64,1))</f>
        <v>4976.7</v>
      </c>
      <c r="G21">
        <f ca="1">SUMIF(DemandBreakdown!$A$5:$A$68,G$18&amp;$C21,OFFSET(DemandBreakdown!$BP$5,0,$C$18-2010,64,1))</f>
        <v>187.8</v>
      </c>
      <c r="H21" s="91"/>
      <c r="L21" s="23"/>
      <c r="M21" s="23"/>
      <c r="N21" s="23"/>
      <c r="O21" s="88"/>
    </row>
    <row r="22" spans="1:15" x14ac:dyDescent="0.25">
      <c r="A22">
        <v>4</v>
      </c>
      <c r="B22" t="s">
        <v>16</v>
      </c>
      <c r="C22" t="s">
        <v>99</v>
      </c>
      <c r="D22" s="24"/>
      <c r="E22">
        <f ca="1">SUMIF(DemandBreakdown!$A$5:$A$68,E$18&amp;$C22,OFFSET(DemandBreakdown!$BP$5,0,$C$18-2010,64,1))</f>
        <v>57.6</v>
      </c>
      <c r="F22">
        <f ca="1">SUMIF(DemandBreakdown!$A$5:$A$68,F$18&amp;$C22,OFFSET(DemandBreakdown!$BP$5,0,$C$18-2010,64,1))</f>
        <v>506.88</v>
      </c>
      <c r="G22">
        <f ca="1">SUMIF(DemandBreakdown!$A$5:$A$68,G$18&amp;$C22,OFFSET(DemandBreakdown!$BP$5,0,$C$18-2010,64,1))</f>
        <v>11.52</v>
      </c>
      <c r="H22" s="91"/>
      <c r="L22" s="23"/>
      <c r="M22" s="23"/>
      <c r="N22" s="23"/>
      <c r="O22" s="88"/>
    </row>
    <row r="23" spans="1:15" x14ac:dyDescent="0.25">
      <c r="A23">
        <v>5</v>
      </c>
      <c r="B23" t="s">
        <v>17</v>
      </c>
      <c r="C23" t="s">
        <v>100</v>
      </c>
      <c r="D23" s="24"/>
      <c r="E23">
        <f ca="1">SUMIF(DemandBreakdown!$A$5:$A$68,E$18&amp;$C23,OFFSET(DemandBreakdown!$BP$5,0,$C$18-2010,64,1))</f>
        <v>560</v>
      </c>
      <c r="F23">
        <f ca="1">SUMIF(DemandBreakdown!$A$5:$A$68,F$18&amp;$C23,OFFSET(DemandBreakdown!$BP$5,0,$C$18-2010,64,1))</f>
        <v>1008</v>
      </c>
      <c r="G23">
        <f ca="1">SUMIF(DemandBreakdown!$A$5:$A$68,G$18&amp;$C23,OFFSET(DemandBreakdown!$BP$5,0,$C$18-2010,64,1))</f>
        <v>32</v>
      </c>
      <c r="H23" s="91"/>
      <c r="L23" s="23"/>
      <c r="M23" s="23"/>
      <c r="N23" s="23"/>
      <c r="O23" s="88"/>
    </row>
    <row r="24" spans="1:15" x14ac:dyDescent="0.25">
      <c r="A24">
        <v>6</v>
      </c>
      <c r="B24" t="s">
        <v>18</v>
      </c>
      <c r="C24" t="s">
        <v>101</v>
      </c>
      <c r="D24" s="24"/>
      <c r="E24">
        <f ca="1">SUMIF(DemandBreakdown!$A$5:$A$68,E$18&amp;$C24,OFFSET(DemandBreakdown!$BP$5,0,$C$18-2010,64,1))</f>
        <v>3006.4</v>
      </c>
      <c r="F24">
        <f ca="1">SUMIF(DemandBreakdown!$A$5:$A$68,F$18&amp;$C24,OFFSET(DemandBreakdown!$BP$5,0,$C$18-2010,64,1))</f>
        <v>676.43999999999983</v>
      </c>
      <c r="G24">
        <f ca="1">SUMIF(DemandBreakdown!$A$5:$A$68,G$18&amp;$C24,OFFSET(DemandBreakdown!$BP$5,0,$C$18-2010,64,1))</f>
        <v>75.16</v>
      </c>
      <c r="H24" s="91"/>
      <c r="L24" s="23"/>
      <c r="M24" s="23"/>
      <c r="N24" s="23"/>
      <c r="O24" s="88"/>
    </row>
    <row r="25" spans="1:15" x14ac:dyDescent="0.25">
      <c r="A25">
        <v>7</v>
      </c>
      <c r="B25" t="s">
        <v>19</v>
      </c>
      <c r="C25" t="s">
        <v>102</v>
      </c>
      <c r="D25" s="24"/>
      <c r="E25">
        <f ca="1">SUMIF(DemandBreakdown!$A$5:$A$68,E$18&amp;$C25,OFFSET(DemandBreakdown!$BP$5,0,$C$18-2010,64,1))</f>
        <v>2188.7999999999997</v>
      </c>
      <c r="F25">
        <f ca="1">SUMIF(DemandBreakdown!$A$5:$A$68,F$18&amp;$C25,OFFSET(DemandBreakdown!$BP$5,0,$C$18-2010,64,1))</f>
        <v>1386.24</v>
      </c>
      <c r="G25">
        <f ca="1">SUMIF(DemandBreakdown!$A$5:$A$68,G$18&amp;$C25,OFFSET(DemandBreakdown!$BP$5,0,$C$18-2010,64,1))</f>
        <v>72.960000000000008</v>
      </c>
      <c r="H25" s="91"/>
      <c r="L25" s="23"/>
      <c r="M25" s="23"/>
      <c r="N25" s="23"/>
      <c r="O25" s="88"/>
    </row>
    <row r="26" spans="1:15" x14ac:dyDescent="0.25">
      <c r="A26">
        <v>8</v>
      </c>
      <c r="B26" t="s">
        <v>20</v>
      </c>
      <c r="C26" t="s">
        <v>107</v>
      </c>
      <c r="D26" s="24"/>
      <c r="E26">
        <f ca="1">SUMIF(DemandBreakdown!$A$5:$A$68,E$18&amp;$C26,OFFSET(DemandBreakdown!$BP$5,0,$C$18-2010,64,1))</f>
        <v>168265.56362692802</v>
      </c>
      <c r="F26">
        <f ca="1">SUMIF(DemandBreakdown!$A$5:$A$68,F$18&amp;$C26,OFFSET(DemandBreakdown!$BP$5,0,$C$18-2010,64,1))</f>
        <v>85427.132302901911</v>
      </c>
      <c r="G26">
        <f ca="1">SUMIF(DemandBreakdown!$A$5:$A$68,G$18&amp;$C26,OFFSET(DemandBreakdown!$BP$5,0,$C$18-2010,64,1))</f>
        <v>5177.401957751631</v>
      </c>
      <c r="H26" s="91"/>
      <c r="L26" s="23"/>
      <c r="M26" s="23"/>
      <c r="N26" s="23"/>
      <c r="O26" s="88"/>
    </row>
    <row r="27" spans="1:15" x14ac:dyDescent="0.25">
      <c r="A27">
        <v>9</v>
      </c>
      <c r="B27" t="s">
        <v>21</v>
      </c>
      <c r="C27" t="s">
        <v>103</v>
      </c>
      <c r="D27" s="24"/>
      <c r="E27">
        <f ca="1">SUMIF(DemandBreakdown!$A$5:$A$68,E$18&amp;$C27,OFFSET(DemandBreakdown!$BP$5,0,$C$18-2010,64,1))</f>
        <v>441.7</v>
      </c>
      <c r="F27">
        <f ca="1">SUMIF(DemandBreakdown!$A$5:$A$68,F$18&amp;$C27,OFFSET(DemandBreakdown!$BP$5,0,$C$18-2010,64,1))</f>
        <v>795.06000000000006</v>
      </c>
      <c r="G27">
        <f ca="1">SUMIF(DemandBreakdown!$A$5:$A$68,G$18&amp;$C27,OFFSET(DemandBreakdown!$BP$5,0,$C$18-2010,64,1))</f>
        <v>25.240000000000002</v>
      </c>
      <c r="H27" s="91"/>
      <c r="L27" s="23"/>
      <c r="M27" s="23"/>
      <c r="N27" s="23"/>
      <c r="O27" s="88"/>
    </row>
    <row r="28" spans="1:15" x14ac:dyDescent="0.25">
      <c r="A28">
        <v>10</v>
      </c>
      <c r="B28" t="s">
        <v>22</v>
      </c>
      <c r="C28" t="s">
        <v>104</v>
      </c>
      <c r="D28" s="24"/>
      <c r="E28">
        <f ca="1">SUMIF(DemandBreakdown!$A$5:$A$68,E$18&amp;$C28,OFFSET(DemandBreakdown!$BP$5,0,$C$18-2010,64,1))</f>
        <v>964</v>
      </c>
      <c r="F28">
        <f ca="1">SUMIF(DemandBreakdown!$A$5:$A$68,F$18&amp;$C28,OFFSET(DemandBreakdown!$BP$5,0,$C$18-2010,64,1))</f>
        <v>3759.6</v>
      </c>
      <c r="G28">
        <f ca="1">SUMIF(DemandBreakdown!$A$5:$A$68,G$18&amp;$C28,OFFSET(DemandBreakdown!$BP$5,0,$C$18-2010,64,1))</f>
        <v>96.4</v>
      </c>
      <c r="H28" s="91"/>
      <c r="L28" s="23"/>
      <c r="M28" s="23"/>
      <c r="N28" s="23"/>
      <c r="O28" s="88"/>
    </row>
    <row r="29" spans="1:15" x14ac:dyDescent="0.25">
      <c r="A29">
        <v>11</v>
      </c>
      <c r="B29" t="s">
        <v>23</v>
      </c>
      <c r="C29" t="s">
        <v>105</v>
      </c>
      <c r="D29" s="24"/>
      <c r="E29">
        <f ca="1">SUMIF(DemandBreakdown!$A$5:$A$68,E$18&amp;$C29,OFFSET(DemandBreakdown!$BP$5,0,$C$18-2010,64,1))</f>
        <v>8105.4</v>
      </c>
      <c r="F29">
        <f ca="1">SUMIF(DemandBreakdown!$A$5:$A$68,F$18&amp;$C29,OFFSET(DemandBreakdown!$BP$5,0,$C$18-2010,64,1))</f>
        <v>5133.42</v>
      </c>
      <c r="G29">
        <f ca="1">SUMIF(DemandBreakdown!$A$5:$A$68,G$18&amp;$C29,OFFSET(DemandBreakdown!$BP$5,0,$C$18-2010,64,1))</f>
        <v>270.18</v>
      </c>
      <c r="H29" s="91"/>
      <c r="L29" s="23"/>
      <c r="M29" s="23"/>
      <c r="N29" s="23"/>
      <c r="O29" s="88"/>
    </row>
    <row r="30" spans="1:15" x14ac:dyDescent="0.25">
      <c r="A30">
        <v>12</v>
      </c>
      <c r="B30" t="s">
        <v>24</v>
      </c>
      <c r="C30" t="s">
        <v>106</v>
      </c>
      <c r="D30" s="24"/>
      <c r="E30">
        <f ca="1">SUMIF(DemandBreakdown!$A$5:$A$68,E$18&amp;$C30,OFFSET(DemandBreakdown!$BP$5,0,$C$18-2010,64,1))</f>
        <v>4563.9034748423119</v>
      </c>
      <c r="F30">
        <f ca="1">SUMIF(DemandBreakdown!$A$5:$A$68,F$18&amp;$C30,OFFSET(DemandBreakdown!$BP$5,0,$C$18-2010,64,1))</f>
        <v>5375.2640925920559</v>
      </c>
      <c r="G30">
        <f ca="1">SUMIF(DemandBreakdown!$A$5:$A$68,G$18&amp;$C30,OFFSET(DemandBreakdown!$BP$5,0,$C$18-2010,64,1))</f>
        <v>202.84015443743607</v>
      </c>
      <c r="H30" s="91"/>
      <c r="L30" s="23"/>
      <c r="M30" s="23"/>
      <c r="N30" s="23"/>
      <c r="O30" s="88"/>
    </row>
    <row r="35" spans="1:15" x14ac:dyDescent="0.25">
      <c r="E35">
        <v>2010</v>
      </c>
      <c r="F35">
        <v>2020</v>
      </c>
      <c r="G35">
        <v>2030</v>
      </c>
      <c r="L35">
        <v>2010</v>
      </c>
      <c r="M35">
        <v>2020</v>
      </c>
      <c r="N35">
        <v>2030</v>
      </c>
    </row>
    <row r="36" spans="1:15" x14ac:dyDescent="0.25">
      <c r="A36" s="108">
        <v>1</v>
      </c>
      <c r="B36" s="107" t="str">
        <f ca="1">VLOOKUP(C36,$B$19:$C$30,2,FALSE)</f>
        <v>ANG</v>
      </c>
      <c r="C36" s="109" t="str">
        <f ca="1">OFFSET($B$18,A36,0)</f>
        <v>Angola</v>
      </c>
      <c r="D36" t="s">
        <v>185</v>
      </c>
      <c r="E36" s="83">
        <f ca="1">SUMIF(DemandBreakdown!$A$5:$A$63,$D37&amp;$B36,DemandBreakdown!AK$5:AK$63)</f>
        <v>0.05</v>
      </c>
      <c r="F36" s="91">
        <f ca="1">E36</f>
        <v>0.05</v>
      </c>
      <c r="G36" s="91">
        <f ca="1">F36</f>
        <v>0.05</v>
      </c>
      <c r="I36" s="107" t="str">
        <f t="shared" ref="I36" ca="1" si="2">VLOOKUP(J36,$B$19:$C$30,2,FALSE)</f>
        <v>NAM</v>
      </c>
      <c r="J36" s="110" t="str">
        <f ca="1">OFFSET($B$18,O36,0)</f>
        <v>Namibia</v>
      </c>
      <c r="K36" t="str">
        <f>D56</f>
        <v>Transmission</v>
      </c>
      <c r="L36" s="83">
        <f ca="1">SUMIF(DemandBreakdown!$A$5:$A$63,$K37&amp;$I36,DemandBreakdown!AK$5:AK$63)</f>
        <v>3.2000000000000001E-2</v>
      </c>
      <c r="M36" s="91">
        <f t="shared" ref="M36:N36" ca="1" si="3">L36</f>
        <v>3.2000000000000001E-2</v>
      </c>
      <c r="N36" s="91">
        <f t="shared" ca="1" si="3"/>
        <v>3.2000000000000001E-2</v>
      </c>
      <c r="O36" s="108">
        <v>7</v>
      </c>
    </row>
    <row r="37" spans="1:15" x14ac:dyDescent="0.25">
      <c r="A37" s="108"/>
      <c r="B37" s="107" t="str">
        <f ca="1">VLOOKUP(C36,$B$19:$C$30,2,FALSE)</f>
        <v>ANG</v>
      </c>
      <c r="C37" s="109"/>
      <c r="D37" t="str">
        <f>DemandBreakdown!B5</f>
        <v>Industry</v>
      </c>
      <c r="E37" s="83">
        <f ca="1">SUMIF(DemandBreakdown!$A$5:$A$63,$D37&amp;$B37,DemandBreakdown!AL$5:AL$63)</f>
        <v>0.02</v>
      </c>
      <c r="F37" s="83">
        <f ca="1">SUMIF(DemandBreakdown!$A$5:$A$63,$D37&amp;$B37,DemandBreakdown!AM$5:AM$63)</f>
        <v>0.02</v>
      </c>
      <c r="G37" s="83">
        <f ca="1">SUMIF(DemandBreakdown!$A$5:$A$63,$D37&amp;$B37,DemandBreakdown!AN$5:AN$63)</f>
        <v>0.01</v>
      </c>
      <c r="I37" s="107" t="str">
        <f t="shared" ref="I37:I53" ca="1" si="4">VLOOKUP(J36,$B$19:$C$30,2,FALSE)</f>
        <v>NAM</v>
      </c>
      <c r="J37" s="110"/>
      <c r="K37" t="str">
        <f>D57</f>
        <v>Industry</v>
      </c>
      <c r="L37" s="83">
        <f ca="1">SUMIF(DemandBreakdown!$A$5:$A$63,$K37&amp;$I37,DemandBreakdown!AL$5:AL$63)</f>
        <v>0.02</v>
      </c>
      <c r="M37" s="83">
        <f ca="1">SUMIF(DemandBreakdown!$A$5:$A$63,$K37&amp;$I37,DemandBreakdown!AM$5:AM$63)</f>
        <v>0.02</v>
      </c>
      <c r="N37" s="83">
        <f ca="1">SUMIF(DemandBreakdown!$A$5:$A$63,$K37&amp;$I37,DemandBreakdown!AN$5:AN$63)</f>
        <v>0.01</v>
      </c>
      <c r="O37" s="108"/>
    </row>
    <row r="38" spans="1:15" x14ac:dyDescent="0.25">
      <c r="A38" s="108"/>
      <c r="B38" s="107" t="str">
        <f ca="1">VLOOKUP(C36,$B$19:$C$30,2,FALSE)</f>
        <v>ANG</v>
      </c>
      <c r="C38" s="109"/>
      <c r="D38" t="str">
        <f>DemandBreakdown!B6</f>
        <v>Urban</v>
      </c>
      <c r="E38" s="83">
        <f ca="1">SUMIF(DemandBreakdown!$A$5:$A$63,$D38&amp;$B38,DemandBreakdown!AL$5:AL$63)</f>
        <v>0.2</v>
      </c>
      <c r="F38" s="83">
        <f ca="1">SUMIF(DemandBreakdown!$A$5:$A$63,$D38&amp;$B38,DemandBreakdown!AM$5:AM$63)</f>
        <v>0.15</v>
      </c>
      <c r="G38" s="83">
        <f ca="1">SUMIF(DemandBreakdown!$A$5:$A$63,$D38&amp;$B38,DemandBreakdown!AN$5:AN$63)</f>
        <v>0.08</v>
      </c>
      <c r="I38" s="107" t="str">
        <f t="shared" ref="I38" ca="1" si="5">VLOOKUP(J36,$B$19:$C$30,2,FALSE)</f>
        <v>NAM</v>
      </c>
      <c r="J38" s="110"/>
      <c r="K38" t="str">
        <f>D58</f>
        <v>Urban</v>
      </c>
      <c r="L38" s="83">
        <f ca="1">SUMIF(DemandBreakdown!$A$5:$A$63,$K38&amp;$I38,DemandBreakdown!AL$5:AL$63)</f>
        <v>0.2</v>
      </c>
      <c r="M38" s="83">
        <f ca="1">SUMIF(DemandBreakdown!$A$5:$A$63,$K38&amp;$I38,DemandBreakdown!AM$5:AM$63)</f>
        <v>0.1</v>
      </c>
      <c r="N38" s="83">
        <f ca="1">SUMIF(DemandBreakdown!$A$5:$A$63,$K38&amp;$I38,DemandBreakdown!AN$5:AN$63)</f>
        <v>0.08</v>
      </c>
      <c r="O38" s="108"/>
    </row>
    <row r="39" spans="1:15" x14ac:dyDescent="0.25">
      <c r="A39" s="108"/>
      <c r="B39" s="107" t="str">
        <f ca="1">VLOOKUP(C36,$B$19:$C$30,2,FALSE)</f>
        <v>ANG</v>
      </c>
      <c r="C39" s="109"/>
      <c r="D39" t="str">
        <f>DemandBreakdown!B7</f>
        <v>Rural</v>
      </c>
      <c r="E39" s="83">
        <f ca="1">SUMIF(DemandBreakdown!$A$5:$A$63,$D39&amp;$B39,DemandBreakdown!AL$5:AL$63)</f>
        <v>0.3</v>
      </c>
      <c r="F39" s="83">
        <f ca="1">SUMIF(DemandBreakdown!$A$5:$A$63,$D39&amp;$B39,DemandBreakdown!AM$5:AM$63)</f>
        <v>0.2</v>
      </c>
      <c r="G39" s="83">
        <f ca="1">SUMIF(DemandBreakdown!$A$5:$A$63,$D39&amp;$B39,DemandBreakdown!AN$5:AN$63)</f>
        <v>0.2</v>
      </c>
      <c r="I39" s="107" t="str">
        <f t="shared" ref="I39" ca="1" si="6">VLOOKUP(J36,$B$19:$C$30,2,FALSE)</f>
        <v>NAM</v>
      </c>
      <c r="J39" s="110"/>
      <c r="K39" t="str">
        <f>D59</f>
        <v>Rural</v>
      </c>
      <c r="L39" s="83">
        <f ca="1">SUMIF(DemandBreakdown!$A$5:$A$63,$K39&amp;$I39,DemandBreakdown!AL$5:AL$63)</f>
        <v>0.25</v>
      </c>
      <c r="M39" s="83">
        <f ca="1">SUMIF(DemandBreakdown!$A$5:$A$63,$K39&amp;$I39,DemandBreakdown!AM$5:AM$63)</f>
        <v>0.2</v>
      </c>
      <c r="N39" s="83">
        <f ca="1">SUMIF(DemandBreakdown!$A$5:$A$63,$K39&amp;$I39,DemandBreakdown!AN$5:AN$63)</f>
        <v>0.2</v>
      </c>
      <c r="O39" s="108"/>
    </row>
    <row r="40" spans="1:15" ht="15" customHeight="1" x14ac:dyDescent="0.25">
      <c r="A40" s="108">
        <v>2</v>
      </c>
      <c r="B40" s="107" t="str">
        <f ca="1">VLOOKUP(C40,$B$19:$C$30,2,FALSE)</f>
        <v>BOT</v>
      </c>
      <c r="C40" s="109" t="str">
        <f ca="1">OFFSET($B$18,A40,0)</f>
        <v>Botswana</v>
      </c>
      <c r="D40" t="str">
        <f>D36</f>
        <v>Transmission</v>
      </c>
      <c r="E40" s="83">
        <f ca="1">SUMIF(DemandBreakdown!$A$5:$A$63,$D41&amp;$B40,DemandBreakdown!AK$5:AK$63)</f>
        <v>3.5999999999999997E-2</v>
      </c>
      <c r="F40" s="91">
        <f ca="1">E40</f>
        <v>3.5999999999999997E-2</v>
      </c>
      <c r="G40" s="91">
        <f ca="1">F40</f>
        <v>3.5999999999999997E-2</v>
      </c>
      <c r="I40" s="107" t="str">
        <f t="shared" ref="I40:I52" ca="1" si="7">VLOOKUP(J40,$B$19:$C$30,2,FALSE)</f>
        <v>SAF</v>
      </c>
      <c r="J40" s="110" t="str">
        <f ca="1">OFFSET($B$18,O40,0)</f>
        <v>South Africa</v>
      </c>
      <c r="K40" t="str">
        <f>K36</f>
        <v>Transmission</v>
      </c>
      <c r="L40" s="83">
        <f ca="1">SUMIF(DemandBreakdown!$A$5:$A$63,$K41&amp;$I40,DemandBreakdown!AK$5:AK$63)</f>
        <v>3.9E-2</v>
      </c>
      <c r="M40" s="91">
        <f t="shared" ref="M40:N40" ca="1" si="8">L40</f>
        <v>3.9E-2</v>
      </c>
      <c r="N40" s="91">
        <f t="shared" ca="1" si="8"/>
        <v>3.9E-2</v>
      </c>
      <c r="O40" s="108">
        <v>8</v>
      </c>
    </row>
    <row r="41" spans="1:15" x14ac:dyDescent="0.25">
      <c r="A41" s="108"/>
      <c r="B41" s="107" t="str">
        <f ca="1">VLOOKUP(C40,$B$19:$C$30,2,FALSE)</f>
        <v>BOT</v>
      </c>
      <c r="C41" s="109"/>
      <c r="D41" t="str">
        <f t="shared" ref="D41:D83" si="9">D37</f>
        <v>Industry</v>
      </c>
      <c r="E41" s="83">
        <f ca="1">SUMIF(DemandBreakdown!$A$5:$A$63,$D41&amp;$B41,DemandBreakdown!AL$5:AL$63)</f>
        <v>0.03</v>
      </c>
      <c r="F41" s="83">
        <f ca="1">SUMIF(DemandBreakdown!$A$5:$A$63,$D41&amp;$B41,DemandBreakdown!AM$5:AM$63)</f>
        <v>0.02</v>
      </c>
      <c r="G41" s="83">
        <f ca="1">SUMIF(DemandBreakdown!$A$5:$A$63,$D41&amp;$B41,DemandBreakdown!AN$5:AN$63)</f>
        <v>0.01</v>
      </c>
      <c r="I41" s="107" t="str">
        <f t="shared" ca="1" si="4"/>
        <v>SAF</v>
      </c>
      <c r="J41" s="110"/>
      <c r="K41" t="str">
        <f>K37</f>
        <v>Industry</v>
      </c>
      <c r="L41" s="83">
        <f ca="1">SUMIF(DemandBreakdown!$A$5:$A$63,$K41&amp;$I41,DemandBreakdown!AL$5:AL$63)</f>
        <v>0.01</v>
      </c>
      <c r="M41" s="83">
        <f ca="1">SUMIF(DemandBreakdown!$A$5:$A$63,$K41&amp;$I41,DemandBreakdown!AM$5:AM$63)</f>
        <v>0.01</v>
      </c>
      <c r="N41" s="83">
        <f ca="1">SUMIF(DemandBreakdown!$A$5:$A$63,$K41&amp;$I41,DemandBreakdown!AN$5:AN$63)</f>
        <v>0.01</v>
      </c>
      <c r="O41" s="108"/>
    </row>
    <row r="42" spans="1:15" x14ac:dyDescent="0.25">
      <c r="A42" s="108"/>
      <c r="B42" s="107" t="str">
        <f ca="1">VLOOKUP(C40,$B$19:$C$30,2,FALSE)</f>
        <v>BOT</v>
      </c>
      <c r="C42" s="109"/>
      <c r="D42" t="str">
        <f t="shared" si="9"/>
        <v>Urban</v>
      </c>
      <c r="E42" s="83">
        <f ca="1">SUMIF(DemandBreakdown!$A$5:$A$63,$D42&amp;$B42,DemandBreakdown!AL$5:AL$63)</f>
        <v>0.15</v>
      </c>
      <c r="F42" s="83">
        <f ca="1">SUMIF(DemandBreakdown!$A$5:$A$63,$D42&amp;$B42,DemandBreakdown!AM$5:AM$63)</f>
        <v>0.1</v>
      </c>
      <c r="G42" s="83">
        <f ca="1">SUMIF(DemandBreakdown!$A$5:$A$63,$D42&amp;$B42,DemandBreakdown!AN$5:AN$63)</f>
        <v>0.08</v>
      </c>
      <c r="I42" s="107" t="str">
        <f t="shared" ref="I42:I54" ca="1" si="10">VLOOKUP(J40,$B$19:$C$30,2,FALSE)</f>
        <v>SAF</v>
      </c>
      <c r="J42" s="110"/>
      <c r="K42" t="str">
        <f>K38</f>
        <v>Urban</v>
      </c>
      <c r="L42" s="83">
        <f ca="1">SUMIF(DemandBreakdown!$A$5:$A$63,$K42&amp;$I42,DemandBreakdown!AL$5:AL$63)</f>
        <v>0.17</v>
      </c>
      <c r="M42" s="83">
        <f ca="1">SUMIF(DemandBreakdown!$A$5:$A$63,$K42&amp;$I42,DemandBreakdown!AM$5:AM$63)</f>
        <v>0.1</v>
      </c>
      <c r="N42" s="83">
        <f ca="1">SUMIF(DemandBreakdown!$A$5:$A$63,$K42&amp;$I42,DemandBreakdown!AN$5:AN$63)</f>
        <v>0.08</v>
      </c>
      <c r="O42" s="108"/>
    </row>
    <row r="43" spans="1:15" x14ac:dyDescent="0.25">
      <c r="A43" s="108"/>
      <c r="B43" s="107" t="str">
        <f ca="1">VLOOKUP(C40,$B$19:$C$30,2,FALSE)</f>
        <v>BOT</v>
      </c>
      <c r="C43" s="109"/>
      <c r="D43" t="str">
        <f t="shared" si="9"/>
        <v>Rural</v>
      </c>
      <c r="E43" s="83">
        <f ca="1">SUMIF(DemandBreakdown!$A$5:$A$63,$D43&amp;$B43,DemandBreakdown!AL$5:AL$63)</f>
        <v>0.2</v>
      </c>
      <c r="F43" s="83">
        <f ca="1">SUMIF(DemandBreakdown!$A$5:$A$63,$D43&amp;$B43,DemandBreakdown!AM$5:AM$63)</f>
        <v>0.2</v>
      </c>
      <c r="G43" s="83">
        <f ca="1">SUMIF(DemandBreakdown!$A$5:$A$63,$D43&amp;$B43,DemandBreakdown!AN$5:AN$63)</f>
        <v>0.2</v>
      </c>
      <c r="I43" s="107" t="str">
        <f t="shared" ref="I43:I55" ca="1" si="11">VLOOKUP(J40,$B$19:$C$30,2,FALSE)</f>
        <v>SAF</v>
      </c>
      <c r="J43" s="110"/>
      <c r="K43" t="str">
        <f>K39</f>
        <v>Rural</v>
      </c>
      <c r="L43" s="83">
        <f ca="1">SUMIF(DemandBreakdown!$A$5:$A$63,$K43&amp;$I43,DemandBreakdown!AL$5:AL$63)</f>
        <v>0.25</v>
      </c>
      <c r="M43" s="83">
        <f ca="1">SUMIF(DemandBreakdown!$A$5:$A$63,$K43&amp;$I43,DemandBreakdown!AM$5:AM$63)</f>
        <v>0.2</v>
      </c>
      <c r="N43" s="83">
        <f ca="1">SUMIF(DemandBreakdown!$A$5:$A$63,$K43&amp;$I43,DemandBreakdown!AN$5:AN$63)</f>
        <v>0.2</v>
      </c>
      <c r="O43" s="108"/>
    </row>
    <row r="44" spans="1:15" ht="15" customHeight="1" x14ac:dyDescent="0.25">
      <c r="A44" s="108">
        <v>3</v>
      </c>
      <c r="B44" s="107" t="str">
        <f ca="1">VLOOKUP(C44,$B$19:$C$30,2,FALSE)</f>
        <v>DRC</v>
      </c>
      <c r="C44" s="109" t="str">
        <f ca="1">OFFSET($B$18,A44,0)</f>
        <v>Democratic Republic of Congo</v>
      </c>
      <c r="D44" t="str">
        <f>D40</f>
        <v>Transmission</v>
      </c>
      <c r="E44" s="83">
        <f ca="1">SUMIF(DemandBreakdown!$A$5:$A$63,$D45&amp;$B44,DemandBreakdown!AK$5:AK$63)</f>
        <v>0.05</v>
      </c>
      <c r="F44" s="91">
        <f ca="1">E44</f>
        <v>0.05</v>
      </c>
      <c r="G44" s="91">
        <f ca="1">F44</f>
        <v>0.05</v>
      </c>
      <c r="I44" s="107" t="str">
        <f t="shared" ca="1" si="7"/>
        <v>SWA</v>
      </c>
      <c r="J44" s="110" t="str">
        <f ca="1">OFFSET($B$18,O44,0)</f>
        <v>Swaziland</v>
      </c>
      <c r="K44" t="str">
        <f>K40</f>
        <v>Transmission</v>
      </c>
      <c r="L44" s="83">
        <f ca="1">SUMIF(DemandBreakdown!$A$5:$A$63,$K45&amp;$I44,DemandBreakdown!AK$5:AK$63)</f>
        <v>0.05</v>
      </c>
      <c r="M44" s="91">
        <f t="shared" ref="M44:N44" ca="1" si="12">L44</f>
        <v>0.05</v>
      </c>
      <c r="N44" s="91">
        <f t="shared" ca="1" si="12"/>
        <v>0.05</v>
      </c>
      <c r="O44" s="108">
        <v>9</v>
      </c>
    </row>
    <row r="45" spans="1:15" x14ac:dyDescent="0.25">
      <c r="A45" s="108"/>
      <c r="B45" s="107" t="str">
        <f ca="1">VLOOKUP(C44,$B$19:$C$30,2,FALSE)</f>
        <v>DRC</v>
      </c>
      <c r="C45" s="109"/>
      <c r="D45" t="str">
        <f t="shared" si="9"/>
        <v>Industry</v>
      </c>
      <c r="E45" s="83">
        <f ca="1">SUMIF(DemandBreakdown!$A$5:$A$63,$D45&amp;$B45,DemandBreakdown!AL$5:AL$63)</f>
        <v>0.03</v>
      </c>
      <c r="F45" s="83">
        <f ca="1">SUMIF(DemandBreakdown!$A$5:$A$63,$D45&amp;$B45,DemandBreakdown!AM$5:AM$63)</f>
        <v>0.02</v>
      </c>
      <c r="G45" s="83">
        <f ca="1">SUMIF(DemandBreakdown!$A$5:$A$63,$D45&amp;$B45,DemandBreakdown!AN$5:AN$63)</f>
        <v>0.01</v>
      </c>
      <c r="I45" s="107" t="str">
        <f t="shared" ca="1" si="4"/>
        <v>SWA</v>
      </c>
      <c r="J45" s="110"/>
      <c r="K45" t="str">
        <f>K41</f>
        <v>Industry</v>
      </c>
      <c r="L45" s="83">
        <f ca="1">SUMIF(DemandBreakdown!$A$5:$A$63,$K45&amp;$I45,DemandBreakdown!AL$5:AL$63)</f>
        <v>0.02</v>
      </c>
      <c r="M45" s="83">
        <f ca="1">SUMIF(DemandBreakdown!$A$5:$A$63,$K45&amp;$I45,DemandBreakdown!AM$5:AM$63)</f>
        <v>0.02</v>
      </c>
      <c r="N45" s="83">
        <f ca="1">SUMIF(DemandBreakdown!$A$5:$A$63,$K45&amp;$I45,DemandBreakdown!AN$5:AN$63)</f>
        <v>0.01</v>
      </c>
      <c r="O45" s="108"/>
    </row>
    <row r="46" spans="1:15" x14ac:dyDescent="0.25">
      <c r="A46" s="108"/>
      <c r="B46" s="107" t="str">
        <f ca="1">VLOOKUP(C44,$B$19:$C$30,2,FALSE)</f>
        <v>DRC</v>
      </c>
      <c r="C46" s="109"/>
      <c r="D46" t="str">
        <f t="shared" si="9"/>
        <v>Urban</v>
      </c>
      <c r="E46" s="83">
        <f ca="1">SUMIF(DemandBreakdown!$A$5:$A$63,$D46&amp;$B46,DemandBreakdown!AL$5:AL$63)</f>
        <v>0.25</v>
      </c>
      <c r="F46" s="83">
        <f ca="1">SUMIF(DemandBreakdown!$A$5:$A$63,$D46&amp;$B46,DemandBreakdown!AM$5:AM$63)</f>
        <v>0.1</v>
      </c>
      <c r="G46" s="83">
        <f ca="1">SUMIF(DemandBreakdown!$A$5:$A$63,$D46&amp;$B46,DemandBreakdown!AN$5:AN$63)</f>
        <v>0.08</v>
      </c>
      <c r="I46" s="107" t="str">
        <f t="shared" ca="1" si="10"/>
        <v>SWA</v>
      </c>
      <c r="J46" s="110"/>
      <c r="K46" t="str">
        <f>K42</f>
        <v>Urban</v>
      </c>
      <c r="L46" s="83">
        <f ca="1">SUMIF(DemandBreakdown!$A$5:$A$63,$K46&amp;$I46,DemandBreakdown!AL$5:AL$63)</f>
        <v>0.15</v>
      </c>
      <c r="M46" s="83">
        <f ca="1">SUMIF(DemandBreakdown!$A$5:$A$63,$K46&amp;$I46,DemandBreakdown!AM$5:AM$63)</f>
        <v>0.1</v>
      </c>
      <c r="N46" s="83">
        <f ca="1">SUMIF(DemandBreakdown!$A$5:$A$63,$K46&amp;$I46,DemandBreakdown!AN$5:AN$63)</f>
        <v>0.08</v>
      </c>
      <c r="O46" s="108"/>
    </row>
    <row r="47" spans="1:15" x14ac:dyDescent="0.25">
      <c r="A47" s="108"/>
      <c r="B47" s="107" t="str">
        <f ca="1">VLOOKUP(C44,$B$19:$C$30,2,FALSE)</f>
        <v>DRC</v>
      </c>
      <c r="C47" s="109"/>
      <c r="D47" t="str">
        <f t="shared" si="9"/>
        <v>Rural</v>
      </c>
      <c r="E47" s="83">
        <f ca="1">SUMIF(DemandBreakdown!$A$5:$A$63,$D47&amp;$B47,DemandBreakdown!AL$5:AL$63)</f>
        <v>0.2</v>
      </c>
      <c r="F47" s="83">
        <f ca="1">SUMIF(DemandBreakdown!$A$5:$A$63,$D47&amp;$B47,DemandBreakdown!AM$5:AM$63)</f>
        <v>0.2</v>
      </c>
      <c r="G47" s="83">
        <f ca="1">SUMIF(DemandBreakdown!$A$5:$A$63,$D47&amp;$B47,DemandBreakdown!AN$5:AN$63)</f>
        <v>0.2</v>
      </c>
      <c r="I47" s="107" t="str">
        <f t="shared" ca="1" si="11"/>
        <v>SWA</v>
      </c>
      <c r="J47" s="110"/>
      <c r="K47" t="str">
        <f>K43</f>
        <v>Rural</v>
      </c>
      <c r="L47" s="83">
        <f ca="1">SUMIF(DemandBreakdown!$A$5:$A$63,$K47&amp;$I47,DemandBreakdown!AL$5:AL$63)</f>
        <v>0.2</v>
      </c>
      <c r="M47" s="83">
        <f ca="1">SUMIF(DemandBreakdown!$A$5:$A$63,$K47&amp;$I47,DemandBreakdown!AM$5:AM$63)</f>
        <v>0.2</v>
      </c>
      <c r="N47" s="83">
        <f ca="1">SUMIF(DemandBreakdown!$A$5:$A$63,$K47&amp;$I47,DemandBreakdown!AN$5:AN$63)</f>
        <v>0.2</v>
      </c>
      <c r="O47" s="108"/>
    </row>
    <row r="48" spans="1:15" x14ac:dyDescent="0.25">
      <c r="A48" s="108">
        <v>4</v>
      </c>
      <c r="B48" s="107" t="str">
        <f t="shared" ref="B48" ca="1" si="13">VLOOKUP(C48,$B$19:$C$30,2,FALSE)</f>
        <v>LES</v>
      </c>
      <c r="C48" s="109" t="str">
        <f t="shared" ref="C48:C63" ca="1" si="14">OFFSET($B$18,A48,0)</f>
        <v>Lesotho</v>
      </c>
      <c r="D48" t="str">
        <f t="shared" si="9"/>
        <v>Transmission</v>
      </c>
      <c r="E48" s="83">
        <f ca="1">SUMIF(DemandBreakdown!$A$5:$A$63,$D49&amp;$B48,DemandBreakdown!AK$5:AK$63)</f>
        <v>0.05</v>
      </c>
      <c r="F48" s="91">
        <f t="shared" ref="F48:G48" ca="1" si="15">E48</f>
        <v>0.05</v>
      </c>
      <c r="G48" s="91">
        <f t="shared" ca="1" si="15"/>
        <v>0.05</v>
      </c>
      <c r="I48" s="107" t="str">
        <f t="shared" ca="1" si="7"/>
        <v>TAN</v>
      </c>
      <c r="J48" s="110" t="str">
        <f ca="1">OFFSET($B$18,O48,0)</f>
        <v>Tanzania</v>
      </c>
      <c r="K48" t="str">
        <f>K44</f>
        <v>Transmission</v>
      </c>
      <c r="L48" s="83">
        <f ca="1">SUMIF(DemandBreakdown!$A$5:$A$63,$K49&amp;$I48,DemandBreakdown!AK$5:AK$63)</f>
        <v>4.4999999999999998E-2</v>
      </c>
      <c r="M48" s="91">
        <f t="shared" ref="M48:N48" ca="1" si="16">L48</f>
        <v>4.4999999999999998E-2</v>
      </c>
      <c r="N48" s="91">
        <f t="shared" ca="1" si="16"/>
        <v>4.4999999999999998E-2</v>
      </c>
      <c r="O48" s="108">
        <v>10</v>
      </c>
    </row>
    <row r="49" spans="1:15" x14ac:dyDescent="0.25">
      <c r="A49" s="108"/>
      <c r="B49" s="107" t="str">
        <f t="shared" ref="B49:B63" ca="1" si="17">VLOOKUP(C48,$B$19:$C$30,2,FALSE)</f>
        <v>LES</v>
      </c>
      <c r="C49" s="109"/>
      <c r="D49" t="str">
        <f t="shared" si="9"/>
        <v>Industry</v>
      </c>
      <c r="E49" s="83">
        <f ca="1">SUMIF(DemandBreakdown!$A$5:$A$63,$D49&amp;$B49,DemandBreakdown!AL$5:AL$63)</f>
        <v>0.02</v>
      </c>
      <c r="F49" s="83">
        <f ca="1">SUMIF(DemandBreakdown!$A$5:$A$63,$D49&amp;$B49,DemandBreakdown!AM$5:AM$63)</f>
        <v>0.02</v>
      </c>
      <c r="G49" s="83">
        <f ca="1">SUMIF(DemandBreakdown!$A$5:$A$63,$D49&amp;$B49,DemandBreakdown!AN$5:AN$63)</f>
        <v>0.01</v>
      </c>
      <c r="I49" s="107" t="str">
        <f t="shared" ca="1" si="4"/>
        <v>TAN</v>
      </c>
      <c r="J49" s="110"/>
      <c r="K49" t="str">
        <f>K45</f>
        <v>Industry</v>
      </c>
      <c r="L49" s="83">
        <f ca="1">SUMIF(DemandBreakdown!$A$5:$A$63,$K49&amp;$I49,DemandBreakdown!AL$5:AL$63)</f>
        <v>0.02</v>
      </c>
      <c r="M49" s="83">
        <f ca="1">SUMIF(DemandBreakdown!$A$5:$A$63,$K49&amp;$I49,DemandBreakdown!AM$5:AM$63)</f>
        <v>0.02</v>
      </c>
      <c r="N49" s="83">
        <f ca="1">SUMIF(DemandBreakdown!$A$5:$A$63,$K49&amp;$I49,DemandBreakdown!AN$5:AN$63)</f>
        <v>0.01</v>
      </c>
      <c r="O49" s="108"/>
    </row>
    <row r="50" spans="1:15" x14ac:dyDescent="0.25">
      <c r="A50" s="108"/>
      <c r="B50" s="107" t="str">
        <f t="shared" ref="B50" ca="1" si="18">VLOOKUP(C48,$B$19:$C$30,2,FALSE)</f>
        <v>LES</v>
      </c>
      <c r="C50" s="109"/>
      <c r="D50" t="str">
        <f t="shared" si="9"/>
        <v>Urban</v>
      </c>
      <c r="E50" s="83">
        <f ca="1">SUMIF(DemandBreakdown!$A$5:$A$63,$D50&amp;$B50,DemandBreakdown!AL$5:AL$63)</f>
        <v>0.12</v>
      </c>
      <c r="F50" s="83">
        <f ca="1">SUMIF(DemandBreakdown!$A$5:$A$63,$D50&amp;$B50,DemandBreakdown!AM$5:AM$63)</f>
        <v>0.1</v>
      </c>
      <c r="G50" s="83">
        <f ca="1">SUMIF(DemandBreakdown!$A$5:$A$63,$D50&amp;$B50,DemandBreakdown!AN$5:AN$63)</f>
        <v>0.08</v>
      </c>
      <c r="I50" s="107" t="str">
        <f t="shared" ca="1" si="10"/>
        <v>TAN</v>
      </c>
      <c r="J50" s="110"/>
      <c r="K50" t="str">
        <f>K46</f>
        <v>Urban</v>
      </c>
      <c r="L50" s="83">
        <f ca="1">SUMIF(DemandBreakdown!$A$5:$A$63,$K50&amp;$I50,DemandBreakdown!AL$5:AL$63)</f>
        <v>0.17</v>
      </c>
      <c r="M50" s="83">
        <f ca="1">SUMIF(DemandBreakdown!$A$5:$A$63,$K50&amp;$I50,DemandBreakdown!AM$5:AM$63)</f>
        <v>0.1</v>
      </c>
      <c r="N50" s="83">
        <f ca="1">SUMIF(DemandBreakdown!$A$5:$A$63,$K50&amp;$I50,DemandBreakdown!AN$5:AN$63)</f>
        <v>0.08</v>
      </c>
      <c r="O50" s="108"/>
    </row>
    <row r="51" spans="1:15" x14ac:dyDescent="0.25">
      <c r="A51" s="108"/>
      <c r="B51" s="107" t="str">
        <f t="shared" ref="B51" ca="1" si="19">VLOOKUP(C48,$B$19:$C$30,2,FALSE)</f>
        <v>LES</v>
      </c>
      <c r="C51" s="109"/>
      <c r="D51" t="str">
        <f t="shared" si="9"/>
        <v>Rural</v>
      </c>
      <c r="E51" s="83">
        <f ca="1">SUMIF(DemandBreakdown!$A$5:$A$63,$D51&amp;$B51,DemandBreakdown!AL$5:AL$63)</f>
        <v>0.25</v>
      </c>
      <c r="F51" s="83">
        <f ca="1">SUMIF(DemandBreakdown!$A$5:$A$63,$D51&amp;$B51,DemandBreakdown!AM$5:AM$63)</f>
        <v>0.2</v>
      </c>
      <c r="G51" s="83">
        <f ca="1">SUMIF(DemandBreakdown!$A$5:$A$63,$D51&amp;$B51,DemandBreakdown!AN$5:AN$63)</f>
        <v>0.2</v>
      </c>
      <c r="I51" s="107" t="str">
        <f t="shared" ca="1" si="11"/>
        <v>TAN</v>
      </c>
      <c r="J51" s="110"/>
      <c r="K51" t="str">
        <f>K47</f>
        <v>Rural</v>
      </c>
      <c r="L51" s="83">
        <f ca="1">SUMIF(DemandBreakdown!$A$5:$A$63,$K51&amp;$I51,DemandBreakdown!AL$5:AL$63)</f>
        <v>0.25</v>
      </c>
      <c r="M51" s="83">
        <f ca="1">SUMIF(DemandBreakdown!$A$5:$A$63,$K51&amp;$I51,DemandBreakdown!AM$5:AM$63)</f>
        <v>0.2</v>
      </c>
      <c r="N51" s="83">
        <f ca="1">SUMIF(DemandBreakdown!$A$5:$A$63,$K51&amp;$I51,DemandBreakdown!AN$5:AN$63)</f>
        <v>0.2</v>
      </c>
      <c r="O51" s="108"/>
    </row>
    <row r="52" spans="1:15" x14ac:dyDescent="0.25">
      <c r="A52" s="108">
        <v>5</v>
      </c>
      <c r="B52" s="107" t="str">
        <f t="shared" ref="B52" ca="1" si="20">VLOOKUP(C52,$B$19:$C$30,2,FALSE)</f>
        <v>MAL</v>
      </c>
      <c r="C52" s="109" t="str">
        <f t="shared" ref="C52:C63" ca="1" si="21">OFFSET($B$18,A52,0)</f>
        <v>Malawi</v>
      </c>
      <c r="D52" t="str">
        <f t="shared" si="9"/>
        <v>Transmission</v>
      </c>
      <c r="E52" s="83">
        <f ca="1">SUMIF(DemandBreakdown!$A$5:$A$63,$D53&amp;$B52,DemandBreakdown!AK$5:AK$63)</f>
        <v>0.05</v>
      </c>
      <c r="F52" s="91">
        <f t="shared" ref="F52:G52" ca="1" si="22">E52</f>
        <v>0.05</v>
      </c>
      <c r="G52" s="91">
        <f t="shared" ca="1" si="22"/>
        <v>0.05</v>
      </c>
      <c r="I52" s="107" t="str">
        <f t="shared" ca="1" si="7"/>
        <v>ZAM</v>
      </c>
      <c r="J52" s="110" t="str">
        <f ca="1">OFFSET($B$18,O52,0)</f>
        <v>Zambia</v>
      </c>
      <c r="K52" t="str">
        <f>K48</f>
        <v>Transmission</v>
      </c>
      <c r="L52" s="83">
        <f ca="1">SUMIF(DemandBreakdown!$A$5:$A$63,$K53&amp;$I52,DemandBreakdown!AK$5:AK$63)</f>
        <v>4.3999999999999997E-2</v>
      </c>
      <c r="M52" s="91">
        <f t="shared" ref="M52:N52" ca="1" si="23">L52</f>
        <v>4.3999999999999997E-2</v>
      </c>
      <c r="N52" s="91">
        <f t="shared" ca="1" si="23"/>
        <v>4.3999999999999997E-2</v>
      </c>
      <c r="O52" s="108">
        <v>11</v>
      </c>
    </row>
    <row r="53" spans="1:15" x14ac:dyDescent="0.25">
      <c r="A53" s="108"/>
      <c r="B53" s="107" t="str">
        <f t="shared" ref="B53:B63" ca="1" si="24">VLOOKUP(C52,$B$19:$C$30,2,FALSE)</f>
        <v>MAL</v>
      </c>
      <c r="C53" s="109"/>
      <c r="D53" t="str">
        <f t="shared" si="9"/>
        <v>Industry</v>
      </c>
      <c r="E53" s="83">
        <f ca="1">SUMIF(DemandBreakdown!$A$5:$A$63,$D53&amp;$B53,DemandBreakdown!AL$5:AL$63)</f>
        <v>0.02</v>
      </c>
      <c r="F53" s="83">
        <f ca="1">SUMIF(DemandBreakdown!$A$5:$A$63,$D53&amp;$B53,DemandBreakdown!AM$5:AM$63)</f>
        <v>0.02</v>
      </c>
      <c r="G53" s="83">
        <f ca="1">SUMIF(DemandBreakdown!$A$5:$A$63,$D53&amp;$B53,DemandBreakdown!AN$5:AN$63)</f>
        <v>0.01</v>
      </c>
      <c r="I53" s="107" t="str">
        <f t="shared" ca="1" si="4"/>
        <v>ZAM</v>
      </c>
      <c r="J53" s="110"/>
      <c r="K53" t="str">
        <f>K49</f>
        <v>Industry</v>
      </c>
      <c r="L53" s="83">
        <f ca="1">SUMIF(DemandBreakdown!$A$5:$A$63,$K53&amp;$I53,DemandBreakdown!AL$5:AL$63)</f>
        <v>0.04</v>
      </c>
      <c r="M53" s="83">
        <f ca="1">SUMIF(DemandBreakdown!$A$5:$A$63,$K53&amp;$I53,DemandBreakdown!AM$5:AM$63)</f>
        <v>0.03</v>
      </c>
      <c r="N53" s="83">
        <f ca="1">SUMIF(DemandBreakdown!$A$5:$A$63,$K53&amp;$I53,DemandBreakdown!AN$5:AN$63)</f>
        <v>0.02</v>
      </c>
      <c r="O53" s="108"/>
    </row>
    <row r="54" spans="1:15" x14ac:dyDescent="0.25">
      <c r="A54" s="108"/>
      <c r="B54" s="107" t="str">
        <f t="shared" ref="B54" ca="1" si="25">VLOOKUP(C52,$B$19:$C$30,2,FALSE)</f>
        <v>MAL</v>
      </c>
      <c r="C54" s="109"/>
      <c r="D54" t="str">
        <f t="shared" si="9"/>
        <v>Urban</v>
      </c>
      <c r="E54" s="83">
        <f ca="1">SUMIF(DemandBreakdown!$A$5:$A$63,$D54&amp;$B54,DemandBreakdown!AL$5:AL$63)</f>
        <v>0.2</v>
      </c>
      <c r="F54" s="83">
        <f ca="1">SUMIF(DemandBreakdown!$A$5:$A$63,$D54&amp;$B54,DemandBreakdown!AM$5:AM$63)</f>
        <v>0.1</v>
      </c>
      <c r="G54" s="83">
        <f ca="1">SUMIF(DemandBreakdown!$A$5:$A$63,$D54&amp;$B54,DemandBreakdown!AN$5:AN$63)</f>
        <v>0.08</v>
      </c>
      <c r="I54" s="107" t="str">
        <f t="shared" ca="1" si="10"/>
        <v>ZAM</v>
      </c>
      <c r="J54" s="110"/>
      <c r="K54" t="str">
        <f>K50</f>
        <v>Urban</v>
      </c>
      <c r="L54" s="83">
        <f ca="1">SUMIF(DemandBreakdown!$A$5:$A$63,$K54&amp;$I54,DemandBreakdown!AL$5:AL$63)</f>
        <v>0.25</v>
      </c>
      <c r="M54" s="83">
        <f ca="1">SUMIF(DemandBreakdown!$A$5:$A$63,$K54&amp;$I54,DemandBreakdown!AM$5:AM$63)</f>
        <v>0.15</v>
      </c>
      <c r="N54" s="83">
        <f ca="1">SUMIF(DemandBreakdown!$A$5:$A$63,$K54&amp;$I54,DemandBreakdown!AN$5:AN$63)</f>
        <v>0.08</v>
      </c>
      <c r="O54" s="108"/>
    </row>
    <row r="55" spans="1:15" x14ac:dyDescent="0.25">
      <c r="A55" s="108"/>
      <c r="B55" s="107" t="str">
        <f t="shared" ref="B55" ca="1" si="26">VLOOKUP(C52,$B$19:$C$30,2,FALSE)</f>
        <v>MAL</v>
      </c>
      <c r="C55" s="109"/>
      <c r="D55" t="str">
        <f t="shared" si="9"/>
        <v>Rural</v>
      </c>
      <c r="E55" s="83">
        <f ca="1">SUMIF(DemandBreakdown!$A$5:$A$63,$D55&amp;$B55,DemandBreakdown!AL$5:AL$63)</f>
        <v>0.3</v>
      </c>
      <c r="F55" s="83">
        <f ca="1">SUMIF(DemandBreakdown!$A$5:$A$63,$D55&amp;$B55,DemandBreakdown!AM$5:AM$63)</f>
        <v>0.2</v>
      </c>
      <c r="G55" s="83">
        <f ca="1">SUMIF(DemandBreakdown!$A$5:$A$63,$D55&amp;$B55,DemandBreakdown!AN$5:AN$63)</f>
        <v>0.2</v>
      </c>
      <c r="I55" s="107" t="str">
        <f t="shared" ca="1" si="11"/>
        <v>ZAM</v>
      </c>
      <c r="J55" s="110"/>
      <c r="K55" t="str">
        <f>K51</f>
        <v>Rural</v>
      </c>
      <c r="L55" s="83">
        <f ca="1">SUMIF(DemandBreakdown!$A$5:$A$63,$K55&amp;$I55,DemandBreakdown!AL$5:AL$63)</f>
        <v>0.3</v>
      </c>
      <c r="M55" s="83">
        <f ca="1">SUMIF(DemandBreakdown!$A$5:$A$63,$K55&amp;$I55,DemandBreakdown!AM$5:AM$63)</f>
        <v>0.2</v>
      </c>
      <c r="N55" s="83">
        <f ca="1">SUMIF(DemandBreakdown!$A$5:$A$63,$K55&amp;$I55,DemandBreakdown!AN$5:AN$63)</f>
        <v>0.2</v>
      </c>
      <c r="O55" s="108"/>
    </row>
    <row r="56" spans="1:15" ht="15" customHeight="1" x14ac:dyDescent="0.25">
      <c r="A56" s="108">
        <v>6</v>
      </c>
      <c r="B56" s="107" t="str">
        <f t="shared" ref="B56" ca="1" si="27">VLOOKUP(C56,$B$19:$C$30,2,FALSE)</f>
        <v>MOZ</v>
      </c>
      <c r="C56" s="109" t="str">
        <f t="shared" ref="C56:C63" ca="1" si="28">OFFSET($B$18,A56,0)</f>
        <v>Mozambique</v>
      </c>
      <c r="D56" t="str">
        <f t="shared" si="9"/>
        <v>Transmission</v>
      </c>
      <c r="E56" s="83">
        <f ca="1">SUMIF(DemandBreakdown!$A$5:$A$63,$D57&amp;$B56,DemandBreakdown!AK$5:AK$63)</f>
        <v>0.05</v>
      </c>
      <c r="F56" s="91">
        <f t="shared" ref="F56:G56" ca="1" si="29">E56</f>
        <v>0.05</v>
      </c>
      <c r="G56" s="91">
        <f t="shared" ca="1" si="29"/>
        <v>0.05</v>
      </c>
      <c r="I56" s="107" t="str">
        <f t="shared" ref="I56" ca="1" si="30">VLOOKUP(J56,$B$19:$C$30,2,FALSE)</f>
        <v>ZIM</v>
      </c>
      <c r="J56" s="110" t="str">
        <f ca="1">OFFSET($B$18,O56,0)</f>
        <v>Zimbabwe</v>
      </c>
      <c r="K56" t="str">
        <f>K52</f>
        <v>Transmission</v>
      </c>
      <c r="L56" s="83">
        <f ca="1">SUMIF(DemandBreakdown!$A$5:$A$63,$K57&amp;$I56,DemandBreakdown!AK$5:AK$63)</f>
        <v>0.04</v>
      </c>
      <c r="M56" s="91">
        <f t="shared" ref="M56:N56" ca="1" si="31">L56</f>
        <v>0.04</v>
      </c>
      <c r="N56" s="91">
        <f t="shared" ca="1" si="31"/>
        <v>0.04</v>
      </c>
      <c r="O56" s="108">
        <v>12</v>
      </c>
    </row>
    <row r="57" spans="1:15" x14ac:dyDescent="0.25">
      <c r="A57" s="108"/>
      <c r="B57" s="107" t="str">
        <f t="shared" ref="B57:B63" ca="1" si="32">VLOOKUP(C56,$B$19:$C$30,2,FALSE)</f>
        <v>MOZ</v>
      </c>
      <c r="C57" s="109"/>
      <c r="D57" t="str">
        <f t="shared" si="9"/>
        <v>Industry</v>
      </c>
      <c r="E57" s="83">
        <f ca="1">SUMIF(DemandBreakdown!$A$5:$A$63,$D57&amp;$B57,DemandBreakdown!AL$5:AL$63)</f>
        <v>0.05</v>
      </c>
      <c r="F57" s="83">
        <f ca="1">SUMIF(DemandBreakdown!$A$5:$A$63,$D57&amp;$B57,DemandBreakdown!AM$5:AM$63)</f>
        <v>0.04</v>
      </c>
      <c r="G57" s="83">
        <f ca="1">SUMIF(DemandBreakdown!$A$5:$A$63,$D57&amp;$B57,DemandBreakdown!AN$5:AN$63)</f>
        <v>0.03</v>
      </c>
      <c r="I57" s="107" t="str">
        <f t="shared" ref="I57:I59" ca="1" si="33">VLOOKUP(J56,$B$19:$C$30,2,FALSE)</f>
        <v>ZIM</v>
      </c>
      <c r="J57" s="110"/>
      <c r="K57" t="str">
        <f>K53</f>
        <v>Industry</v>
      </c>
      <c r="L57" s="83">
        <f ca="1">SUMIF(DemandBreakdown!$A$5:$A$63,$K57&amp;$I57,DemandBreakdown!AL$5:AL$63)</f>
        <v>0.02</v>
      </c>
      <c r="M57" s="83">
        <f ca="1">SUMIF(DemandBreakdown!$A$5:$A$63,$K57&amp;$I57,DemandBreakdown!AM$5:AM$63)</f>
        <v>0.02</v>
      </c>
      <c r="N57" s="83">
        <f ca="1">SUMIF(DemandBreakdown!$A$5:$A$63,$K57&amp;$I57,DemandBreakdown!AN$5:AN$63)</f>
        <v>0.01</v>
      </c>
      <c r="O57" s="108"/>
    </row>
    <row r="58" spans="1:15" x14ac:dyDescent="0.25">
      <c r="A58" s="108"/>
      <c r="B58" s="107" t="str">
        <f t="shared" ref="B58" ca="1" si="34">VLOOKUP(C56,$B$19:$C$30,2,FALSE)</f>
        <v>MOZ</v>
      </c>
      <c r="C58" s="109"/>
      <c r="D58" t="str">
        <f t="shared" si="9"/>
        <v>Urban</v>
      </c>
      <c r="E58" s="83">
        <f ca="1">SUMIF(DemandBreakdown!$A$5:$A$63,$D58&amp;$B58,DemandBreakdown!AL$5:AL$63)</f>
        <v>0.3</v>
      </c>
      <c r="F58" s="83">
        <f ca="1">SUMIF(DemandBreakdown!$A$5:$A$63,$D58&amp;$B58,DemandBreakdown!AM$5:AM$63)</f>
        <v>0.15</v>
      </c>
      <c r="G58" s="83">
        <f ca="1">SUMIF(DemandBreakdown!$A$5:$A$63,$D58&amp;$B58,DemandBreakdown!AN$5:AN$63)</f>
        <v>0.08</v>
      </c>
      <c r="I58" s="107" t="str">
        <f t="shared" ref="I58" ca="1" si="35">VLOOKUP(J56,$B$19:$C$30,2,FALSE)</f>
        <v>ZIM</v>
      </c>
      <c r="J58" s="110"/>
      <c r="K58" t="str">
        <f>K54</f>
        <v>Urban</v>
      </c>
      <c r="L58" s="83">
        <f ca="1">SUMIF(DemandBreakdown!$A$5:$A$63,$K58&amp;$I58,DemandBreakdown!AL$5:AL$63)</f>
        <v>0.17</v>
      </c>
      <c r="M58" s="83">
        <f ca="1">SUMIF(DemandBreakdown!$A$5:$A$63,$K58&amp;$I58,DemandBreakdown!AM$5:AM$63)</f>
        <v>0.12</v>
      </c>
      <c r="N58" s="83">
        <f ca="1">SUMIF(DemandBreakdown!$A$5:$A$63,$K58&amp;$I58,DemandBreakdown!AN$5:AN$63)</f>
        <v>0.08</v>
      </c>
      <c r="O58" s="108"/>
    </row>
    <row r="59" spans="1:15" x14ac:dyDescent="0.25">
      <c r="A59" s="108"/>
      <c r="B59" s="107" t="str">
        <f t="shared" ref="B59" ca="1" si="36">VLOOKUP(C56,$B$19:$C$30,2,FALSE)</f>
        <v>MOZ</v>
      </c>
      <c r="C59" s="109"/>
      <c r="D59" t="str">
        <f t="shared" si="9"/>
        <v>Rural</v>
      </c>
      <c r="E59" s="83">
        <f ca="1">SUMIF(DemandBreakdown!$A$5:$A$63,$D59&amp;$B59,DemandBreakdown!AL$5:AL$63)</f>
        <v>0.3</v>
      </c>
      <c r="F59" s="83">
        <f ca="1">SUMIF(DemandBreakdown!$A$5:$A$63,$D59&amp;$B59,DemandBreakdown!AM$5:AM$63)</f>
        <v>0.2</v>
      </c>
      <c r="G59" s="83">
        <f ca="1">SUMIF(DemandBreakdown!$A$5:$A$63,$D59&amp;$B59,DemandBreakdown!AN$5:AN$63)</f>
        <v>0.2</v>
      </c>
      <c r="I59" s="107" t="str">
        <f t="shared" ref="I59" ca="1" si="37">VLOOKUP(J56,$B$19:$C$30,2,FALSE)</f>
        <v>ZIM</v>
      </c>
      <c r="J59" s="110"/>
      <c r="K59" t="str">
        <f>K55</f>
        <v>Rural</v>
      </c>
      <c r="L59" s="83">
        <f ca="1">SUMIF(DemandBreakdown!$A$5:$A$63,$K59&amp;$I59,DemandBreakdown!AL$5:AL$63)</f>
        <v>0.2</v>
      </c>
      <c r="M59" s="83">
        <f ca="1">SUMIF(DemandBreakdown!$A$5:$A$63,$K59&amp;$I59,DemandBreakdown!AM$5:AM$63)</f>
        <v>0.2</v>
      </c>
      <c r="N59" s="83">
        <f ca="1">SUMIF(DemandBreakdown!$A$5:$A$63,$K59&amp;$I59,DemandBreakdown!AN$5:AN$63)</f>
        <v>0.2</v>
      </c>
      <c r="O59" s="108"/>
    </row>
  </sheetData>
  <mergeCells count="18">
    <mergeCell ref="O48:O51"/>
    <mergeCell ref="O52:O55"/>
    <mergeCell ref="O56:O59"/>
    <mergeCell ref="C56:C59"/>
    <mergeCell ref="O36:O39"/>
    <mergeCell ref="O40:O43"/>
    <mergeCell ref="O44:O47"/>
    <mergeCell ref="A36:A39"/>
    <mergeCell ref="C36:C39"/>
    <mergeCell ref="A40:A43"/>
    <mergeCell ref="C40:C43"/>
    <mergeCell ref="A44:A47"/>
    <mergeCell ref="C44:C47"/>
    <mergeCell ref="A48:A51"/>
    <mergeCell ref="C48:C51"/>
    <mergeCell ref="A52:A55"/>
    <mergeCell ref="C52:C55"/>
    <mergeCell ref="A56:A5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D71"/>
  <sheetViews>
    <sheetView workbookViewId="0"/>
  </sheetViews>
  <sheetFormatPr defaultRowHeight="12.75" x14ac:dyDescent="0.2"/>
  <cols>
    <col min="1" max="1" width="66.140625" style="2" customWidth="1"/>
    <col min="2" max="2" width="9.140625" style="2"/>
    <col min="3" max="26" width="11.28515625" style="2" bestFit="1" customWidth="1"/>
    <col min="27" max="27" width="9.85546875" style="2" customWidth="1"/>
    <col min="28" max="253" width="9.140625" style="2"/>
    <col min="254" max="254" width="66.140625" style="2" customWidth="1"/>
    <col min="255" max="257" width="9.140625" style="2"/>
    <col min="258" max="258" width="9.7109375" style="2" customWidth="1"/>
    <col min="259" max="282" width="11.28515625" style="2" bestFit="1" customWidth="1"/>
    <col min="283" max="509" width="9.140625" style="2"/>
    <col min="510" max="510" width="66.140625" style="2" customWidth="1"/>
    <col min="511" max="513" width="9.140625" style="2"/>
    <col min="514" max="514" width="9.7109375" style="2" customWidth="1"/>
    <col min="515" max="538" width="11.28515625" style="2" bestFit="1" customWidth="1"/>
    <col min="539" max="765" width="9.140625" style="2"/>
    <col min="766" max="766" width="66.140625" style="2" customWidth="1"/>
    <col min="767" max="769" width="9.140625" style="2"/>
    <col min="770" max="770" width="9.7109375" style="2" customWidth="1"/>
    <col min="771" max="794" width="11.28515625" style="2" bestFit="1" customWidth="1"/>
    <col min="795" max="1021" width="9.140625" style="2"/>
    <col min="1022" max="1022" width="66.140625" style="2" customWidth="1"/>
    <col min="1023" max="1025" width="9.140625" style="2"/>
    <col min="1026" max="1026" width="9.7109375" style="2" customWidth="1"/>
    <col min="1027" max="1050" width="11.28515625" style="2" bestFit="1" customWidth="1"/>
    <col min="1051" max="1277" width="9.140625" style="2"/>
    <col min="1278" max="1278" width="66.140625" style="2" customWidth="1"/>
    <col min="1279" max="1281" width="9.140625" style="2"/>
    <col min="1282" max="1282" width="9.7109375" style="2" customWidth="1"/>
    <col min="1283" max="1306" width="11.28515625" style="2" bestFit="1" customWidth="1"/>
    <col min="1307" max="1533" width="9.140625" style="2"/>
    <col min="1534" max="1534" width="66.140625" style="2" customWidth="1"/>
    <col min="1535" max="1537" width="9.140625" style="2"/>
    <col min="1538" max="1538" width="9.7109375" style="2" customWidth="1"/>
    <col min="1539" max="1562" width="11.28515625" style="2" bestFit="1" customWidth="1"/>
    <col min="1563" max="1789" width="9.140625" style="2"/>
    <col min="1790" max="1790" width="66.140625" style="2" customWidth="1"/>
    <col min="1791" max="1793" width="9.140625" style="2"/>
    <col min="1794" max="1794" width="9.7109375" style="2" customWidth="1"/>
    <col min="1795" max="1818" width="11.28515625" style="2" bestFit="1" customWidth="1"/>
    <col min="1819" max="2045" width="9.140625" style="2"/>
    <col min="2046" max="2046" width="66.140625" style="2" customWidth="1"/>
    <col min="2047" max="2049" width="9.140625" style="2"/>
    <col min="2050" max="2050" width="9.7109375" style="2" customWidth="1"/>
    <col min="2051" max="2074" width="11.28515625" style="2" bestFit="1" customWidth="1"/>
    <col min="2075" max="2301" width="9.140625" style="2"/>
    <col min="2302" max="2302" width="66.140625" style="2" customWidth="1"/>
    <col min="2303" max="2305" width="9.140625" style="2"/>
    <col min="2306" max="2306" width="9.7109375" style="2" customWidth="1"/>
    <col min="2307" max="2330" width="11.28515625" style="2" bestFit="1" customWidth="1"/>
    <col min="2331" max="2557" width="9.140625" style="2"/>
    <col min="2558" max="2558" width="66.140625" style="2" customWidth="1"/>
    <col min="2559" max="2561" width="9.140625" style="2"/>
    <col min="2562" max="2562" width="9.7109375" style="2" customWidth="1"/>
    <col min="2563" max="2586" width="11.28515625" style="2" bestFit="1" customWidth="1"/>
    <col min="2587" max="2813" width="9.140625" style="2"/>
    <col min="2814" max="2814" width="66.140625" style="2" customWidth="1"/>
    <col min="2815" max="2817" width="9.140625" style="2"/>
    <col min="2818" max="2818" width="9.7109375" style="2" customWidth="1"/>
    <col min="2819" max="2842" width="11.28515625" style="2" bestFit="1" customWidth="1"/>
    <col min="2843" max="3069" width="9.140625" style="2"/>
    <col min="3070" max="3070" width="66.140625" style="2" customWidth="1"/>
    <col min="3071" max="3073" width="9.140625" style="2"/>
    <col min="3074" max="3074" width="9.7109375" style="2" customWidth="1"/>
    <col min="3075" max="3098" width="11.28515625" style="2" bestFit="1" customWidth="1"/>
    <col min="3099" max="3325" width="9.140625" style="2"/>
    <col min="3326" max="3326" width="66.140625" style="2" customWidth="1"/>
    <col min="3327" max="3329" width="9.140625" style="2"/>
    <col min="3330" max="3330" width="9.7109375" style="2" customWidth="1"/>
    <col min="3331" max="3354" width="11.28515625" style="2" bestFit="1" customWidth="1"/>
    <col min="3355" max="3581" width="9.140625" style="2"/>
    <col min="3582" max="3582" width="66.140625" style="2" customWidth="1"/>
    <col min="3583" max="3585" width="9.140625" style="2"/>
    <col min="3586" max="3586" width="9.7109375" style="2" customWidth="1"/>
    <col min="3587" max="3610" width="11.28515625" style="2" bestFit="1" customWidth="1"/>
    <col min="3611" max="3837" width="9.140625" style="2"/>
    <col min="3838" max="3838" width="66.140625" style="2" customWidth="1"/>
    <col min="3839" max="3841" width="9.140625" style="2"/>
    <col min="3842" max="3842" width="9.7109375" style="2" customWidth="1"/>
    <col min="3843" max="3866" width="11.28515625" style="2" bestFit="1" customWidth="1"/>
    <col min="3867" max="4093" width="9.140625" style="2"/>
    <col min="4094" max="4094" width="66.140625" style="2" customWidth="1"/>
    <col min="4095" max="4097" width="9.140625" style="2"/>
    <col min="4098" max="4098" width="9.7109375" style="2" customWidth="1"/>
    <col min="4099" max="4122" width="11.28515625" style="2" bestFit="1" customWidth="1"/>
    <col min="4123" max="4349" width="9.140625" style="2"/>
    <col min="4350" max="4350" width="66.140625" style="2" customWidth="1"/>
    <col min="4351" max="4353" width="9.140625" style="2"/>
    <col min="4354" max="4354" width="9.7109375" style="2" customWidth="1"/>
    <col min="4355" max="4378" width="11.28515625" style="2" bestFit="1" customWidth="1"/>
    <col min="4379" max="4605" width="9.140625" style="2"/>
    <col min="4606" max="4606" width="66.140625" style="2" customWidth="1"/>
    <col min="4607" max="4609" width="9.140625" style="2"/>
    <col min="4610" max="4610" width="9.7109375" style="2" customWidth="1"/>
    <col min="4611" max="4634" width="11.28515625" style="2" bestFit="1" customWidth="1"/>
    <col min="4635" max="4861" width="9.140625" style="2"/>
    <col min="4862" max="4862" width="66.140625" style="2" customWidth="1"/>
    <col min="4863" max="4865" width="9.140625" style="2"/>
    <col min="4866" max="4866" width="9.7109375" style="2" customWidth="1"/>
    <col min="4867" max="4890" width="11.28515625" style="2" bestFit="1" customWidth="1"/>
    <col min="4891" max="5117" width="9.140625" style="2"/>
    <col min="5118" max="5118" width="66.140625" style="2" customWidth="1"/>
    <col min="5119" max="5121" width="9.140625" style="2"/>
    <col min="5122" max="5122" width="9.7109375" style="2" customWidth="1"/>
    <col min="5123" max="5146" width="11.28515625" style="2" bestFit="1" customWidth="1"/>
    <col min="5147" max="5373" width="9.140625" style="2"/>
    <col min="5374" max="5374" width="66.140625" style="2" customWidth="1"/>
    <col min="5375" max="5377" width="9.140625" style="2"/>
    <col min="5378" max="5378" width="9.7109375" style="2" customWidth="1"/>
    <col min="5379" max="5402" width="11.28515625" style="2" bestFit="1" customWidth="1"/>
    <col min="5403" max="5629" width="9.140625" style="2"/>
    <col min="5630" max="5630" width="66.140625" style="2" customWidth="1"/>
    <col min="5631" max="5633" width="9.140625" style="2"/>
    <col min="5634" max="5634" width="9.7109375" style="2" customWidth="1"/>
    <col min="5635" max="5658" width="11.28515625" style="2" bestFit="1" customWidth="1"/>
    <col min="5659" max="5885" width="9.140625" style="2"/>
    <col min="5886" max="5886" width="66.140625" style="2" customWidth="1"/>
    <col min="5887" max="5889" width="9.140625" style="2"/>
    <col min="5890" max="5890" width="9.7109375" style="2" customWidth="1"/>
    <col min="5891" max="5914" width="11.28515625" style="2" bestFit="1" customWidth="1"/>
    <col min="5915" max="6141" width="9.140625" style="2"/>
    <col min="6142" max="6142" width="66.140625" style="2" customWidth="1"/>
    <col min="6143" max="6145" width="9.140625" style="2"/>
    <col min="6146" max="6146" width="9.7109375" style="2" customWidth="1"/>
    <col min="6147" max="6170" width="11.28515625" style="2" bestFit="1" customWidth="1"/>
    <col min="6171" max="6397" width="9.140625" style="2"/>
    <col min="6398" max="6398" width="66.140625" style="2" customWidth="1"/>
    <col min="6399" max="6401" width="9.140625" style="2"/>
    <col min="6402" max="6402" width="9.7109375" style="2" customWidth="1"/>
    <col min="6403" max="6426" width="11.28515625" style="2" bestFit="1" customWidth="1"/>
    <col min="6427" max="6653" width="9.140625" style="2"/>
    <col min="6654" max="6654" width="66.140625" style="2" customWidth="1"/>
    <col min="6655" max="6657" width="9.140625" style="2"/>
    <col min="6658" max="6658" width="9.7109375" style="2" customWidth="1"/>
    <col min="6659" max="6682" width="11.28515625" style="2" bestFit="1" customWidth="1"/>
    <col min="6683" max="6909" width="9.140625" style="2"/>
    <col min="6910" max="6910" width="66.140625" style="2" customWidth="1"/>
    <col min="6911" max="6913" width="9.140625" style="2"/>
    <col min="6914" max="6914" width="9.7109375" style="2" customWidth="1"/>
    <col min="6915" max="6938" width="11.28515625" style="2" bestFit="1" customWidth="1"/>
    <col min="6939" max="7165" width="9.140625" style="2"/>
    <col min="7166" max="7166" width="66.140625" style="2" customWidth="1"/>
    <col min="7167" max="7169" width="9.140625" style="2"/>
    <col min="7170" max="7170" width="9.7109375" style="2" customWidth="1"/>
    <col min="7171" max="7194" width="11.28515625" style="2" bestFit="1" customWidth="1"/>
    <col min="7195" max="7421" width="9.140625" style="2"/>
    <col min="7422" max="7422" width="66.140625" style="2" customWidth="1"/>
    <col min="7423" max="7425" width="9.140625" style="2"/>
    <col min="7426" max="7426" width="9.7109375" style="2" customWidth="1"/>
    <col min="7427" max="7450" width="11.28515625" style="2" bestFit="1" customWidth="1"/>
    <col min="7451" max="7677" width="9.140625" style="2"/>
    <col min="7678" max="7678" width="66.140625" style="2" customWidth="1"/>
    <col min="7679" max="7681" width="9.140625" style="2"/>
    <col min="7682" max="7682" width="9.7109375" style="2" customWidth="1"/>
    <col min="7683" max="7706" width="11.28515625" style="2" bestFit="1" customWidth="1"/>
    <col min="7707" max="7933" width="9.140625" style="2"/>
    <col min="7934" max="7934" width="66.140625" style="2" customWidth="1"/>
    <col min="7935" max="7937" width="9.140625" style="2"/>
    <col min="7938" max="7938" width="9.7109375" style="2" customWidth="1"/>
    <col min="7939" max="7962" width="11.28515625" style="2" bestFit="1" customWidth="1"/>
    <col min="7963" max="8189" width="9.140625" style="2"/>
    <col min="8190" max="8190" width="66.140625" style="2" customWidth="1"/>
    <col min="8191" max="8193" width="9.140625" style="2"/>
    <col min="8194" max="8194" width="9.7109375" style="2" customWidth="1"/>
    <col min="8195" max="8218" width="11.28515625" style="2" bestFit="1" customWidth="1"/>
    <col min="8219" max="8445" width="9.140625" style="2"/>
    <col min="8446" max="8446" width="66.140625" style="2" customWidth="1"/>
    <col min="8447" max="8449" width="9.140625" style="2"/>
    <col min="8450" max="8450" width="9.7109375" style="2" customWidth="1"/>
    <col min="8451" max="8474" width="11.28515625" style="2" bestFit="1" customWidth="1"/>
    <col min="8475" max="8701" width="9.140625" style="2"/>
    <col min="8702" max="8702" width="66.140625" style="2" customWidth="1"/>
    <col min="8703" max="8705" width="9.140625" style="2"/>
    <col min="8706" max="8706" width="9.7109375" style="2" customWidth="1"/>
    <col min="8707" max="8730" width="11.28515625" style="2" bestFit="1" customWidth="1"/>
    <col min="8731" max="8957" width="9.140625" style="2"/>
    <col min="8958" max="8958" width="66.140625" style="2" customWidth="1"/>
    <col min="8959" max="8961" width="9.140625" style="2"/>
    <col min="8962" max="8962" width="9.7109375" style="2" customWidth="1"/>
    <col min="8963" max="8986" width="11.28515625" style="2" bestFit="1" customWidth="1"/>
    <col min="8987" max="9213" width="9.140625" style="2"/>
    <col min="9214" max="9214" width="66.140625" style="2" customWidth="1"/>
    <col min="9215" max="9217" width="9.140625" style="2"/>
    <col min="9218" max="9218" width="9.7109375" style="2" customWidth="1"/>
    <col min="9219" max="9242" width="11.28515625" style="2" bestFit="1" customWidth="1"/>
    <col min="9243" max="9469" width="9.140625" style="2"/>
    <col min="9470" max="9470" width="66.140625" style="2" customWidth="1"/>
    <col min="9471" max="9473" width="9.140625" style="2"/>
    <col min="9474" max="9474" width="9.7109375" style="2" customWidth="1"/>
    <col min="9475" max="9498" width="11.28515625" style="2" bestFit="1" customWidth="1"/>
    <col min="9499" max="9725" width="9.140625" style="2"/>
    <col min="9726" max="9726" width="66.140625" style="2" customWidth="1"/>
    <col min="9727" max="9729" width="9.140625" style="2"/>
    <col min="9730" max="9730" width="9.7109375" style="2" customWidth="1"/>
    <col min="9731" max="9754" width="11.28515625" style="2" bestFit="1" customWidth="1"/>
    <col min="9755" max="9981" width="9.140625" style="2"/>
    <col min="9982" max="9982" width="66.140625" style="2" customWidth="1"/>
    <col min="9983" max="9985" width="9.140625" style="2"/>
    <col min="9986" max="9986" width="9.7109375" style="2" customWidth="1"/>
    <col min="9987" max="10010" width="11.28515625" style="2" bestFit="1" customWidth="1"/>
    <col min="10011" max="10237" width="9.140625" style="2"/>
    <col min="10238" max="10238" width="66.140625" style="2" customWidth="1"/>
    <col min="10239" max="10241" width="9.140625" style="2"/>
    <col min="10242" max="10242" width="9.7109375" style="2" customWidth="1"/>
    <col min="10243" max="10266" width="11.28515625" style="2" bestFit="1" customWidth="1"/>
    <col min="10267" max="10493" width="9.140625" style="2"/>
    <col min="10494" max="10494" width="66.140625" style="2" customWidth="1"/>
    <col min="10495" max="10497" width="9.140625" style="2"/>
    <col min="10498" max="10498" width="9.7109375" style="2" customWidth="1"/>
    <col min="10499" max="10522" width="11.28515625" style="2" bestFit="1" customWidth="1"/>
    <col min="10523" max="10749" width="9.140625" style="2"/>
    <col min="10750" max="10750" width="66.140625" style="2" customWidth="1"/>
    <col min="10751" max="10753" width="9.140625" style="2"/>
    <col min="10754" max="10754" width="9.7109375" style="2" customWidth="1"/>
    <col min="10755" max="10778" width="11.28515625" style="2" bestFit="1" customWidth="1"/>
    <col min="10779" max="11005" width="9.140625" style="2"/>
    <col min="11006" max="11006" width="66.140625" style="2" customWidth="1"/>
    <col min="11007" max="11009" width="9.140625" style="2"/>
    <col min="11010" max="11010" width="9.7109375" style="2" customWidth="1"/>
    <col min="11011" max="11034" width="11.28515625" style="2" bestFit="1" customWidth="1"/>
    <col min="11035" max="11261" width="9.140625" style="2"/>
    <col min="11262" max="11262" width="66.140625" style="2" customWidth="1"/>
    <col min="11263" max="11265" width="9.140625" style="2"/>
    <col min="11266" max="11266" width="9.7109375" style="2" customWidth="1"/>
    <col min="11267" max="11290" width="11.28515625" style="2" bestFit="1" customWidth="1"/>
    <col min="11291" max="11517" width="9.140625" style="2"/>
    <col min="11518" max="11518" width="66.140625" style="2" customWidth="1"/>
    <col min="11519" max="11521" width="9.140625" style="2"/>
    <col min="11522" max="11522" width="9.7109375" style="2" customWidth="1"/>
    <col min="11523" max="11546" width="11.28515625" style="2" bestFit="1" customWidth="1"/>
    <col min="11547" max="11773" width="9.140625" style="2"/>
    <col min="11774" max="11774" width="66.140625" style="2" customWidth="1"/>
    <col min="11775" max="11777" width="9.140625" style="2"/>
    <col min="11778" max="11778" width="9.7109375" style="2" customWidth="1"/>
    <col min="11779" max="11802" width="11.28515625" style="2" bestFit="1" customWidth="1"/>
    <col min="11803" max="12029" width="9.140625" style="2"/>
    <col min="12030" max="12030" width="66.140625" style="2" customWidth="1"/>
    <col min="12031" max="12033" width="9.140625" style="2"/>
    <col min="12034" max="12034" width="9.7109375" style="2" customWidth="1"/>
    <col min="12035" max="12058" width="11.28515625" style="2" bestFit="1" customWidth="1"/>
    <col min="12059" max="12285" width="9.140625" style="2"/>
    <col min="12286" max="12286" width="66.140625" style="2" customWidth="1"/>
    <col min="12287" max="12289" width="9.140625" style="2"/>
    <col min="12290" max="12290" width="9.7109375" style="2" customWidth="1"/>
    <col min="12291" max="12314" width="11.28515625" style="2" bestFit="1" customWidth="1"/>
    <col min="12315" max="12541" width="9.140625" style="2"/>
    <col min="12542" max="12542" width="66.140625" style="2" customWidth="1"/>
    <col min="12543" max="12545" width="9.140625" style="2"/>
    <col min="12546" max="12546" width="9.7109375" style="2" customWidth="1"/>
    <col min="12547" max="12570" width="11.28515625" style="2" bestFit="1" customWidth="1"/>
    <col min="12571" max="12797" width="9.140625" style="2"/>
    <col min="12798" max="12798" width="66.140625" style="2" customWidth="1"/>
    <col min="12799" max="12801" width="9.140625" style="2"/>
    <col min="12802" max="12802" width="9.7109375" style="2" customWidth="1"/>
    <col min="12803" max="12826" width="11.28515625" style="2" bestFit="1" customWidth="1"/>
    <col min="12827" max="13053" width="9.140625" style="2"/>
    <col min="13054" max="13054" width="66.140625" style="2" customWidth="1"/>
    <col min="13055" max="13057" width="9.140625" style="2"/>
    <col min="13058" max="13058" width="9.7109375" style="2" customWidth="1"/>
    <col min="13059" max="13082" width="11.28515625" style="2" bestFit="1" customWidth="1"/>
    <col min="13083" max="13309" width="9.140625" style="2"/>
    <col min="13310" max="13310" width="66.140625" style="2" customWidth="1"/>
    <col min="13311" max="13313" width="9.140625" style="2"/>
    <col min="13314" max="13314" width="9.7109375" style="2" customWidth="1"/>
    <col min="13315" max="13338" width="11.28515625" style="2" bestFit="1" customWidth="1"/>
    <col min="13339" max="13565" width="9.140625" style="2"/>
    <col min="13566" max="13566" width="66.140625" style="2" customWidth="1"/>
    <col min="13567" max="13569" width="9.140625" style="2"/>
    <col min="13570" max="13570" width="9.7109375" style="2" customWidth="1"/>
    <col min="13571" max="13594" width="11.28515625" style="2" bestFit="1" customWidth="1"/>
    <col min="13595" max="13821" width="9.140625" style="2"/>
    <col min="13822" max="13822" width="66.140625" style="2" customWidth="1"/>
    <col min="13823" max="13825" width="9.140625" style="2"/>
    <col min="13826" max="13826" width="9.7109375" style="2" customWidth="1"/>
    <col min="13827" max="13850" width="11.28515625" style="2" bestFit="1" customWidth="1"/>
    <col min="13851" max="14077" width="9.140625" style="2"/>
    <col min="14078" max="14078" width="66.140625" style="2" customWidth="1"/>
    <col min="14079" max="14081" width="9.140625" style="2"/>
    <col min="14082" max="14082" width="9.7109375" style="2" customWidth="1"/>
    <col min="14083" max="14106" width="11.28515625" style="2" bestFit="1" customWidth="1"/>
    <col min="14107" max="14333" width="9.140625" style="2"/>
    <col min="14334" max="14334" width="66.140625" style="2" customWidth="1"/>
    <col min="14335" max="14337" width="9.140625" style="2"/>
    <col min="14338" max="14338" width="9.7109375" style="2" customWidth="1"/>
    <col min="14339" max="14362" width="11.28515625" style="2" bestFit="1" customWidth="1"/>
    <col min="14363" max="14589" width="9.140625" style="2"/>
    <col min="14590" max="14590" width="66.140625" style="2" customWidth="1"/>
    <col min="14591" max="14593" width="9.140625" style="2"/>
    <col min="14594" max="14594" width="9.7109375" style="2" customWidth="1"/>
    <col min="14595" max="14618" width="11.28515625" style="2" bestFit="1" customWidth="1"/>
    <col min="14619" max="14845" width="9.140625" style="2"/>
    <col min="14846" max="14846" width="66.140625" style="2" customWidth="1"/>
    <col min="14847" max="14849" width="9.140625" style="2"/>
    <col min="14850" max="14850" width="9.7109375" style="2" customWidth="1"/>
    <col min="14851" max="14874" width="11.28515625" style="2" bestFit="1" customWidth="1"/>
    <col min="14875" max="15101" width="9.140625" style="2"/>
    <col min="15102" max="15102" width="66.140625" style="2" customWidth="1"/>
    <col min="15103" max="15105" width="9.140625" style="2"/>
    <col min="15106" max="15106" width="9.7109375" style="2" customWidth="1"/>
    <col min="15107" max="15130" width="11.28515625" style="2" bestFit="1" customWidth="1"/>
    <col min="15131" max="15357" width="9.140625" style="2"/>
    <col min="15358" max="15358" width="66.140625" style="2" customWidth="1"/>
    <col min="15359" max="15361" width="9.140625" style="2"/>
    <col min="15362" max="15362" width="9.7109375" style="2" customWidth="1"/>
    <col min="15363" max="15386" width="11.28515625" style="2" bestFit="1" customWidth="1"/>
    <col min="15387" max="15613" width="9.140625" style="2"/>
    <col min="15614" max="15614" width="66.140625" style="2" customWidth="1"/>
    <col min="15615" max="15617" width="9.140625" style="2"/>
    <col min="15618" max="15618" width="9.7109375" style="2" customWidth="1"/>
    <col min="15619" max="15642" width="11.28515625" style="2" bestFit="1" customWidth="1"/>
    <col min="15643" max="15869" width="9.140625" style="2"/>
    <col min="15870" max="15870" width="66.140625" style="2" customWidth="1"/>
    <col min="15871" max="15873" width="9.140625" style="2"/>
    <col min="15874" max="15874" width="9.7109375" style="2" customWidth="1"/>
    <col min="15875" max="15898" width="11.28515625" style="2" bestFit="1" customWidth="1"/>
    <col min="15899" max="16125" width="9.140625" style="2"/>
    <col min="16126" max="16126" width="66.140625" style="2" customWidth="1"/>
    <col min="16127" max="16129" width="9.140625" style="2"/>
    <col min="16130" max="16130" width="9.7109375" style="2" customWidth="1"/>
    <col min="16131" max="16154" width="11.28515625" style="2" bestFit="1" customWidth="1"/>
    <col min="16155" max="16384" width="9.140625" style="2"/>
  </cols>
  <sheetData>
    <row r="1" spans="1:30" ht="20.25" thickBot="1" x14ac:dyDescent="0.35">
      <c r="A1" s="20" t="s">
        <v>117</v>
      </c>
    </row>
    <row r="2" spans="1:30" ht="15.75" thickTop="1" x14ac:dyDescent="0.25">
      <c r="A2" s="21" t="s">
        <v>14</v>
      </c>
      <c r="B2" s="31" t="s">
        <v>98</v>
      </c>
      <c r="C2" s="1">
        <v>2007</v>
      </c>
      <c r="D2" s="1">
        <v>2008</v>
      </c>
      <c r="E2" s="1">
        <v>2009</v>
      </c>
      <c r="F2" s="1">
        <v>2010</v>
      </c>
      <c r="G2" s="1">
        <v>2011</v>
      </c>
      <c r="H2" s="1">
        <v>2012</v>
      </c>
      <c r="I2" s="1">
        <v>2013</v>
      </c>
      <c r="J2" s="1">
        <v>2014</v>
      </c>
      <c r="K2" s="1">
        <v>2015</v>
      </c>
      <c r="L2" s="1">
        <v>2016</v>
      </c>
      <c r="M2" s="1">
        <v>2017</v>
      </c>
      <c r="N2" s="1">
        <v>2018</v>
      </c>
      <c r="O2" s="1">
        <v>2019</v>
      </c>
      <c r="P2" s="1">
        <v>2020</v>
      </c>
      <c r="Q2" s="1">
        <v>2021</v>
      </c>
      <c r="R2" s="1">
        <v>2022</v>
      </c>
      <c r="S2" s="1">
        <v>2023</v>
      </c>
      <c r="T2" s="1">
        <v>2024</v>
      </c>
      <c r="U2" s="1">
        <v>2025</v>
      </c>
      <c r="V2" s="1">
        <v>2026</v>
      </c>
      <c r="W2" s="1">
        <v>2027</v>
      </c>
      <c r="X2" s="1">
        <v>2028</v>
      </c>
      <c r="Y2" s="1">
        <v>2029</v>
      </c>
      <c r="Z2" s="1">
        <v>2030</v>
      </c>
      <c r="AA2" s="1">
        <v>2031</v>
      </c>
      <c r="AB2" s="2">
        <v>2040</v>
      </c>
      <c r="AC2" s="2">
        <v>2050</v>
      </c>
      <c r="AD2" s="2">
        <v>2060</v>
      </c>
    </row>
    <row r="3" spans="1:30" ht="15" x14ac:dyDescent="0.25">
      <c r="A3" s="3" t="s">
        <v>0</v>
      </c>
      <c r="B3" s="31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0" ht="15" x14ac:dyDescent="0.25">
      <c r="A4" s="1" t="s">
        <v>38</v>
      </c>
      <c r="C4" s="24"/>
      <c r="D4" s="32">
        <f t="shared" ref="D4:U4" si="0">IF($B$3="AR 2008",D41,D43)</f>
        <v>0.12434141201264493</v>
      </c>
      <c r="E4" s="32">
        <f t="shared" si="0"/>
        <v>0.19900031240237426</v>
      </c>
      <c r="F4" s="32">
        <f t="shared" si="0"/>
        <v>9.4841063053673791E-2</v>
      </c>
      <c r="G4" s="32">
        <f t="shared" si="0"/>
        <v>8.1627796287482068E-2</v>
      </c>
      <c r="H4" s="32">
        <f t="shared" si="0"/>
        <v>2.5082508250825031E-2</v>
      </c>
      <c r="I4" s="32">
        <f t="shared" si="0"/>
        <v>5.9240180296200817E-2</v>
      </c>
      <c r="J4" s="32">
        <f t="shared" si="0"/>
        <v>4.8226950354609999E-2</v>
      </c>
      <c r="K4" s="32">
        <f t="shared" si="0"/>
        <v>2.4163928088150044E-2</v>
      </c>
      <c r="L4" s="32">
        <f t="shared" si="0"/>
        <v>2.1328803322008261E-2</v>
      </c>
      <c r="M4" s="32">
        <f t="shared" si="0"/>
        <v>9.3882831269636036E-2</v>
      </c>
      <c r="N4" s="32">
        <f t="shared" si="0"/>
        <v>5.541476600777151E-2</v>
      </c>
      <c r="O4" s="32">
        <f t="shared" si="0"/>
        <v>7.9558187930206525E-2</v>
      </c>
      <c r="P4" s="32">
        <f t="shared" si="0"/>
        <v>1.542111506524324E-2</v>
      </c>
      <c r="Q4" s="32">
        <f t="shared" si="0"/>
        <v>1.4748831775700966E-2</v>
      </c>
      <c r="R4" s="32">
        <f t="shared" si="0"/>
        <v>1.4390559792776036E-2</v>
      </c>
      <c r="S4" s="32">
        <f t="shared" si="0"/>
        <v>1.3902681231380276E-2</v>
      </c>
      <c r="T4" s="32">
        <f t="shared" si="0"/>
        <v>1.3432209318595234E-2</v>
      </c>
      <c r="U4" s="32">
        <f t="shared" si="0"/>
        <v>1.2839983432279434E-2</v>
      </c>
      <c r="V4" s="32">
        <f>U4</f>
        <v>1.2839983432279434E-2</v>
      </c>
      <c r="W4" s="32">
        <f t="shared" ref="W4:Z4" si="1">V4</f>
        <v>1.2839983432279434E-2</v>
      </c>
      <c r="X4" s="32">
        <f t="shared" si="1"/>
        <v>1.2839983432279434E-2</v>
      </c>
      <c r="Y4" s="32">
        <f t="shared" si="1"/>
        <v>1.2839983432279434E-2</v>
      </c>
      <c r="Z4" s="32">
        <f t="shared" si="1"/>
        <v>1.2839983432279434E-2</v>
      </c>
      <c r="AA4" s="4">
        <f>AB4</f>
        <v>6.8146337915712119E-3</v>
      </c>
      <c r="AB4" s="18">
        <f>SUMIF(PoolPlan_EnergyProj!$Q$1:$AB$1,B2,PoolPlan_EnergyProj!$Q$29:$AB$29)</f>
        <v>6.8146337915712119E-3</v>
      </c>
      <c r="AC4" s="18">
        <f>SUMIF(PoolPlan_EnergyProj!$Q$1:$AB$1,B2,PoolPlan_EnergyProj!$Q$30:$AB$30)</f>
        <v>2.5472361274776478E-3</v>
      </c>
      <c r="AD4" s="86">
        <v>0</v>
      </c>
    </row>
    <row r="5" spans="1:30" ht="15" x14ac:dyDescent="0.25">
      <c r="A5" s="1" t="s">
        <v>115</v>
      </c>
      <c r="B5" s="5" t="s">
        <v>1</v>
      </c>
      <c r="C5" s="23">
        <f>C42*(1-C7)*(1-C10)</f>
        <v>2419.9499999999998</v>
      </c>
      <c r="D5" s="7">
        <f t="shared" ref="D5:AA5" si="2">C5*(1+D4)</f>
        <v>2720.85</v>
      </c>
      <c r="E5" s="7">
        <f t="shared" si="2"/>
        <v>3262.2999999999997</v>
      </c>
      <c r="F5" s="7">
        <f t="shared" si="2"/>
        <v>3571.7</v>
      </c>
      <c r="G5" s="7">
        <f t="shared" si="2"/>
        <v>3863.2499999999995</v>
      </c>
      <c r="H5" s="7">
        <f t="shared" si="2"/>
        <v>3960.1499999999992</v>
      </c>
      <c r="I5" s="7">
        <f t="shared" si="2"/>
        <v>4194.7499999999991</v>
      </c>
      <c r="J5" s="7">
        <f t="shared" si="2"/>
        <v>4397.0499999999993</v>
      </c>
      <c r="K5" s="7">
        <f t="shared" si="2"/>
        <v>4503.2999999999993</v>
      </c>
      <c r="L5" s="7">
        <f t="shared" si="2"/>
        <v>4599.3499999999995</v>
      </c>
      <c r="M5" s="7">
        <f t="shared" si="2"/>
        <v>5031.1499999999996</v>
      </c>
      <c r="N5" s="7">
        <f t="shared" si="2"/>
        <v>5309.9499999999989</v>
      </c>
      <c r="O5" s="7">
        <f t="shared" si="2"/>
        <v>5732.3999999999987</v>
      </c>
      <c r="P5" s="7">
        <f t="shared" si="2"/>
        <v>5820.7999999999993</v>
      </c>
      <c r="Q5" s="7">
        <f t="shared" si="2"/>
        <v>5906.65</v>
      </c>
      <c r="R5" s="7">
        <f t="shared" si="2"/>
        <v>5991.6500000000005</v>
      </c>
      <c r="S5" s="7">
        <f t="shared" si="2"/>
        <v>6074.95</v>
      </c>
      <c r="T5" s="7">
        <f t="shared" si="2"/>
        <v>6156.55</v>
      </c>
      <c r="U5" s="7">
        <f t="shared" si="2"/>
        <v>6235.6</v>
      </c>
      <c r="V5" s="7">
        <f t="shared" si="2"/>
        <v>6315.6650006903219</v>
      </c>
      <c r="W5" s="7">
        <f t="shared" si="2"/>
        <v>6396.7580346630129</v>
      </c>
      <c r="X5" s="7">
        <f t="shared" si="2"/>
        <v>6478.8923018483865</v>
      </c>
      <c r="Y5" s="7">
        <f t="shared" si="2"/>
        <v>6562.0811716636426</v>
      </c>
      <c r="Z5" s="7">
        <f t="shared" si="2"/>
        <v>6646.3381851890763</v>
      </c>
      <c r="AA5" s="7">
        <f t="shared" si="2"/>
        <v>6691.6305459760752</v>
      </c>
      <c r="AB5" s="7">
        <f>AA5*(1+AB4)^9</f>
        <v>7113.4065173087774</v>
      </c>
      <c r="AC5" s="7">
        <f>AB5*(1+AC4)^10</f>
        <v>7296.6929111411837</v>
      </c>
      <c r="AD5" s="7">
        <f>AC5*(1+AD4)^10</f>
        <v>7296.6929111411837</v>
      </c>
    </row>
    <row r="6" spans="1:30" ht="15" x14ac:dyDescent="0.25">
      <c r="A6" s="3" t="s">
        <v>2</v>
      </c>
      <c r="B6" s="5"/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30" ht="15" x14ac:dyDescent="0.25">
      <c r="A7" s="1" t="s">
        <v>3</v>
      </c>
      <c r="C7" s="71">
        <v>0</v>
      </c>
      <c r="D7" s="33">
        <f t="shared" ref="D7:Y7" si="3">C7</f>
        <v>0</v>
      </c>
      <c r="E7" s="33">
        <f t="shared" si="3"/>
        <v>0</v>
      </c>
      <c r="F7" s="33">
        <f t="shared" si="3"/>
        <v>0</v>
      </c>
      <c r="G7" s="33">
        <f t="shared" si="3"/>
        <v>0</v>
      </c>
      <c r="H7" s="33">
        <f t="shared" si="3"/>
        <v>0</v>
      </c>
      <c r="I7" s="33">
        <f t="shared" si="3"/>
        <v>0</v>
      </c>
      <c r="J7" s="33">
        <f t="shared" si="3"/>
        <v>0</v>
      </c>
      <c r="K7" s="33">
        <f t="shared" si="3"/>
        <v>0</v>
      </c>
      <c r="L7" s="33">
        <f t="shared" si="3"/>
        <v>0</v>
      </c>
      <c r="M7" s="33">
        <f t="shared" si="3"/>
        <v>0</v>
      </c>
      <c r="N7" s="33">
        <f t="shared" si="3"/>
        <v>0</v>
      </c>
      <c r="O7" s="33">
        <f t="shared" si="3"/>
        <v>0</v>
      </c>
      <c r="P7" s="33">
        <f t="shared" si="3"/>
        <v>0</v>
      </c>
      <c r="Q7" s="33">
        <f t="shared" si="3"/>
        <v>0</v>
      </c>
      <c r="R7" s="33">
        <f t="shared" si="3"/>
        <v>0</v>
      </c>
      <c r="S7" s="33">
        <f t="shared" si="3"/>
        <v>0</v>
      </c>
      <c r="T7" s="33">
        <f t="shared" si="3"/>
        <v>0</v>
      </c>
      <c r="U7" s="33">
        <f t="shared" si="3"/>
        <v>0</v>
      </c>
      <c r="V7" s="33">
        <f t="shared" si="3"/>
        <v>0</v>
      </c>
      <c r="W7" s="33">
        <f t="shared" si="3"/>
        <v>0</v>
      </c>
      <c r="X7" s="33">
        <f t="shared" si="3"/>
        <v>0</v>
      </c>
      <c r="Y7" s="33">
        <f t="shared" si="3"/>
        <v>0</v>
      </c>
      <c r="Z7" s="33">
        <f>Y7</f>
        <v>0</v>
      </c>
      <c r="AA7" s="33">
        <f t="shared" ref="AA7:AC7" si="4">Z7</f>
        <v>0</v>
      </c>
      <c r="AB7" s="33">
        <f t="shared" si="4"/>
        <v>0</v>
      </c>
      <c r="AC7" s="33">
        <f t="shared" si="4"/>
        <v>0</v>
      </c>
    </row>
    <row r="8" spans="1:30" ht="15" x14ac:dyDescent="0.25">
      <c r="A8" s="1" t="s">
        <v>96</v>
      </c>
      <c r="B8" s="5" t="s">
        <v>1</v>
      </c>
      <c r="C8" s="8">
        <f t="shared" ref="C8:AC8" si="5">C5/(1-C7)</f>
        <v>2419.9499999999998</v>
      </c>
      <c r="D8" s="8">
        <f t="shared" si="5"/>
        <v>2720.85</v>
      </c>
      <c r="E8" s="8">
        <f t="shared" si="5"/>
        <v>3262.2999999999997</v>
      </c>
      <c r="F8" s="8">
        <f t="shared" si="5"/>
        <v>3571.7</v>
      </c>
      <c r="G8" s="8">
        <f t="shared" si="5"/>
        <v>3863.2499999999995</v>
      </c>
      <c r="H8" s="8">
        <f t="shared" si="5"/>
        <v>3960.1499999999992</v>
      </c>
      <c r="I8" s="8">
        <f t="shared" si="5"/>
        <v>4194.7499999999991</v>
      </c>
      <c r="J8" s="8">
        <f t="shared" si="5"/>
        <v>4397.0499999999993</v>
      </c>
      <c r="K8" s="8">
        <f t="shared" si="5"/>
        <v>4503.2999999999993</v>
      </c>
      <c r="L8" s="8">
        <f t="shared" si="5"/>
        <v>4599.3499999999995</v>
      </c>
      <c r="M8" s="8">
        <f t="shared" si="5"/>
        <v>5031.1499999999996</v>
      </c>
      <c r="N8" s="8">
        <f t="shared" si="5"/>
        <v>5309.9499999999989</v>
      </c>
      <c r="O8" s="8">
        <f t="shared" si="5"/>
        <v>5732.3999999999987</v>
      </c>
      <c r="P8" s="8">
        <f t="shared" si="5"/>
        <v>5820.7999999999993</v>
      </c>
      <c r="Q8" s="8">
        <f t="shared" si="5"/>
        <v>5906.65</v>
      </c>
      <c r="R8" s="8">
        <f t="shared" si="5"/>
        <v>5991.6500000000005</v>
      </c>
      <c r="S8" s="8">
        <f t="shared" si="5"/>
        <v>6074.95</v>
      </c>
      <c r="T8" s="8">
        <f t="shared" si="5"/>
        <v>6156.55</v>
      </c>
      <c r="U8" s="8">
        <f t="shared" si="5"/>
        <v>6235.6</v>
      </c>
      <c r="V8" s="8">
        <f t="shared" si="5"/>
        <v>6315.6650006903219</v>
      </c>
      <c r="W8" s="8">
        <f t="shared" si="5"/>
        <v>6396.7580346630129</v>
      </c>
      <c r="X8" s="8">
        <f t="shared" si="5"/>
        <v>6478.8923018483865</v>
      </c>
      <c r="Y8" s="8">
        <f t="shared" si="5"/>
        <v>6562.0811716636426</v>
      </c>
      <c r="Z8" s="8">
        <f t="shared" si="5"/>
        <v>6646.3381851890763</v>
      </c>
      <c r="AA8" s="8">
        <f t="shared" si="5"/>
        <v>6691.6305459760752</v>
      </c>
      <c r="AB8" s="8">
        <f t="shared" si="5"/>
        <v>7113.4065173087774</v>
      </c>
      <c r="AC8" s="8">
        <f t="shared" si="5"/>
        <v>7296.6929111411837</v>
      </c>
    </row>
    <row r="9" spans="1:30" ht="15" x14ac:dyDescent="0.25">
      <c r="A9" s="3" t="s">
        <v>4</v>
      </c>
      <c r="B9" s="5"/>
      <c r="C9" s="11"/>
      <c r="D9" s="11"/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30" ht="15" x14ac:dyDescent="0.25">
      <c r="A10" s="1" t="s">
        <v>5</v>
      </c>
      <c r="C10" s="26">
        <v>0.15</v>
      </c>
      <c r="D10" s="32">
        <f>C10</f>
        <v>0.15</v>
      </c>
      <c r="E10" s="32">
        <f t="shared" ref="E10:AC10" si="6">D10</f>
        <v>0.15</v>
      </c>
      <c r="F10" s="32">
        <f t="shared" si="6"/>
        <v>0.15</v>
      </c>
      <c r="G10" s="32">
        <f t="shared" si="6"/>
        <v>0.15</v>
      </c>
      <c r="H10" s="32">
        <f t="shared" si="6"/>
        <v>0.15</v>
      </c>
      <c r="I10" s="32">
        <f t="shared" si="6"/>
        <v>0.15</v>
      </c>
      <c r="J10" s="32">
        <f t="shared" si="6"/>
        <v>0.15</v>
      </c>
      <c r="K10" s="32">
        <f t="shared" si="6"/>
        <v>0.15</v>
      </c>
      <c r="L10" s="32">
        <f t="shared" si="6"/>
        <v>0.15</v>
      </c>
      <c r="M10" s="32">
        <f t="shared" si="6"/>
        <v>0.15</v>
      </c>
      <c r="N10" s="32">
        <f t="shared" si="6"/>
        <v>0.15</v>
      </c>
      <c r="O10" s="32">
        <f t="shared" si="6"/>
        <v>0.15</v>
      </c>
      <c r="P10" s="32">
        <f t="shared" si="6"/>
        <v>0.15</v>
      </c>
      <c r="Q10" s="32">
        <f t="shared" si="6"/>
        <v>0.15</v>
      </c>
      <c r="R10" s="32">
        <f t="shared" si="6"/>
        <v>0.15</v>
      </c>
      <c r="S10" s="32">
        <f t="shared" si="6"/>
        <v>0.15</v>
      </c>
      <c r="T10" s="32">
        <f t="shared" si="6"/>
        <v>0.15</v>
      </c>
      <c r="U10" s="32">
        <f t="shared" si="6"/>
        <v>0.15</v>
      </c>
      <c r="V10" s="32">
        <f t="shared" si="6"/>
        <v>0.15</v>
      </c>
      <c r="W10" s="32">
        <f t="shared" si="6"/>
        <v>0.15</v>
      </c>
      <c r="X10" s="32">
        <f t="shared" si="6"/>
        <v>0.15</v>
      </c>
      <c r="Y10" s="32">
        <f t="shared" si="6"/>
        <v>0.15</v>
      </c>
      <c r="Z10" s="32">
        <f t="shared" si="6"/>
        <v>0.15</v>
      </c>
      <c r="AA10" s="32">
        <f t="shared" si="6"/>
        <v>0.15</v>
      </c>
      <c r="AB10" s="32">
        <f t="shared" si="6"/>
        <v>0.15</v>
      </c>
      <c r="AC10" s="32">
        <f t="shared" si="6"/>
        <v>0.15</v>
      </c>
    </row>
    <row r="11" spans="1:30" ht="15" x14ac:dyDescent="0.25">
      <c r="A11" s="1" t="s">
        <v>95</v>
      </c>
      <c r="B11" s="5" t="s">
        <v>1</v>
      </c>
      <c r="C11" s="8">
        <f t="shared" ref="C11:AC11" si="7">C8/(1-C10)</f>
        <v>2847</v>
      </c>
      <c r="D11" s="8">
        <f t="shared" si="7"/>
        <v>3201</v>
      </c>
      <c r="E11" s="8">
        <f t="shared" si="7"/>
        <v>3838</v>
      </c>
      <c r="F11" s="8">
        <f t="shared" si="7"/>
        <v>4202</v>
      </c>
      <c r="G11" s="8">
        <f t="shared" si="7"/>
        <v>4545</v>
      </c>
      <c r="H11" s="8">
        <f t="shared" si="7"/>
        <v>4658.9999999999991</v>
      </c>
      <c r="I11" s="8">
        <f t="shared" si="7"/>
        <v>4934.9999999999991</v>
      </c>
      <c r="J11" s="8">
        <f t="shared" si="7"/>
        <v>5172.9999999999991</v>
      </c>
      <c r="K11" s="8">
        <f t="shared" si="7"/>
        <v>5297.9999999999991</v>
      </c>
      <c r="L11" s="8">
        <f t="shared" si="7"/>
        <v>5410.9999999999991</v>
      </c>
      <c r="M11" s="8">
        <f t="shared" si="7"/>
        <v>5919</v>
      </c>
      <c r="N11" s="8">
        <f t="shared" si="7"/>
        <v>6246.9999999999991</v>
      </c>
      <c r="O11" s="8">
        <f t="shared" si="7"/>
        <v>6743.9999999999991</v>
      </c>
      <c r="P11" s="8">
        <f t="shared" si="7"/>
        <v>6847.9999999999991</v>
      </c>
      <c r="Q11" s="8">
        <f t="shared" si="7"/>
        <v>6949</v>
      </c>
      <c r="R11" s="8">
        <f t="shared" si="7"/>
        <v>7049.0000000000009</v>
      </c>
      <c r="S11" s="8">
        <f t="shared" si="7"/>
        <v>7147</v>
      </c>
      <c r="T11" s="8">
        <f t="shared" si="7"/>
        <v>7243</v>
      </c>
      <c r="U11" s="8">
        <f t="shared" si="7"/>
        <v>7336.0000000000009</v>
      </c>
      <c r="V11" s="8">
        <f t="shared" si="7"/>
        <v>7430.1941184592024</v>
      </c>
      <c r="W11" s="8">
        <f t="shared" si="7"/>
        <v>7525.5976878388392</v>
      </c>
      <c r="X11" s="8">
        <f t="shared" si="7"/>
        <v>7622.2262374686907</v>
      </c>
      <c r="Y11" s="8">
        <f t="shared" si="7"/>
        <v>7720.0954960748741</v>
      </c>
      <c r="Z11" s="8">
        <f t="shared" si="7"/>
        <v>7819.2213943400902</v>
      </c>
      <c r="AA11" s="8">
        <f t="shared" si="7"/>
        <v>7872.5065246777358</v>
      </c>
      <c r="AB11" s="8">
        <f t="shared" si="7"/>
        <v>8368.7135497750332</v>
      </c>
      <c r="AC11" s="8">
        <f t="shared" si="7"/>
        <v>8584.3446013425691</v>
      </c>
    </row>
    <row r="12" spans="1:30" x14ac:dyDescent="0.2">
      <c r="A12" s="3" t="s">
        <v>6</v>
      </c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30" ht="15" x14ac:dyDescent="0.25">
      <c r="A13" s="5" t="s">
        <v>108</v>
      </c>
      <c r="B13" s="5"/>
      <c r="C13" s="6">
        <f>VLOOKUP($A$2,AR2008_Stats!$B$4:$O$15,AR2008_Stats!L$1,FALSE)</f>
        <v>0</v>
      </c>
      <c r="D13" s="64">
        <f>C13</f>
        <v>0</v>
      </c>
      <c r="E13" s="64">
        <f t="shared" ref="E13:T15" si="8">D13</f>
        <v>0</v>
      </c>
      <c r="F13" s="64">
        <f t="shared" si="8"/>
        <v>0</v>
      </c>
      <c r="G13" s="64">
        <f t="shared" si="8"/>
        <v>0</v>
      </c>
      <c r="H13" s="64">
        <f t="shared" si="8"/>
        <v>0</v>
      </c>
      <c r="I13" s="64">
        <f t="shared" si="8"/>
        <v>0</v>
      </c>
      <c r="J13" s="64">
        <f t="shared" si="8"/>
        <v>0</v>
      </c>
      <c r="K13" s="64">
        <f t="shared" si="8"/>
        <v>0</v>
      </c>
      <c r="L13" s="64">
        <f t="shared" si="8"/>
        <v>0</v>
      </c>
      <c r="M13" s="64">
        <f t="shared" si="8"/>
        <v>0</v>
      </c>
      <c r="N13" s="64">
        <f t="shared" si="8"/>
        <v>0</v>
      </c>
      <c r="O13" s="64">
        <f t="shared" si="8"/>
        <v>0</v>
      </c>
      <c r="P13" s="64">
        <f t="shared" si="8"/>
        <v>0</v>
      </c>
      <c r="Q13" s="64">
        <f t="shared" si="8"/>
        <v>0</v>
      </c>
      <c r="R13" s="64">
        <f t="shared" si="8"/>
        <v>0</v>
      </c>
      <c r="S13" s="64">
        <f t="shared" si="8"/>
        <v>0</v>
      </c>
      <c r="T13" s="64">
        <f t="shared" si="8"/>
        <v>0</v>
      </c>
      <c r="U13" s="64">
        <f t="shared" ref="U13:AA15" si="9">T13</f>
        <v>0</v>
      </c>
      <c r="V13" s="64">
        <f t="shared" si="9"/>
        <v>0</v>
      </c>
      <c r="W13" s="64">
        <f t="shared" si="9"/>
        <v>0</v>
      </c>
      <c r="X13" s="64">
        <f t="shared" si="9"/>
        <v>0</v>
      </c>
      <c r="Y13" s="64">
        <f t="shared" si="9"/>
        <v>0</v>
      </c>
      <c r="Z13" s="64">
        <f t="shared" si="9"/>
        <v>0</v>
      </c>
      <c r="AA13" s="64">
        <f t="shared" si="9"/>
        <v>0</v>
      </c>
    </row>
    <row r="14" spans="1:30" ht="15" x14ac:dyDescent="0.25">
      <c r="A14" s="5" t="s">
        <v>109</v>
      </c>
      <c r="B14" s="5"/>
      <c r="C14" s="6">
        <v>0</v>
      </c>
      <c r="D14" s="64">
        <f>C14</f>
        <v>0</v>
      </c>
      <c r="E14" s="64">
        <f t="shared" si="8"/>
        <v>0</v>
      </c>
      <c r="F14" s="64">
        <f t="shared" si="8"/>
        <v>0</v>
      </c>
      <c r="G14" s="64">
        <f t="shared" si="8"/>
        <v>0</v>
      </c>
      <c r="H14" s="64">
        <f t="shared" si="8"/>
        <v>0</v>
      </c>
      <c r="I14" s="64">
        <f t="shared" si="8"/>
        <v>0</v>
      </c>
      <c r="J14" s="64">
        <f t="shared" si="8"/>
        <v>0</v>
      </c>
      <c r="K14" s="64">
        <f t="shared" si="8"/>
        <v>0</v>
      </c>
      <c r="L14" s="64">
        <f t="shared" si="8"/>
        <v>0</v>
      </c>
      <c r="M14" s="64">
        <f t="shared" si="8"/>
        <v>0</v>
      </c>
      <c r="N14" s="64">
        <f t="shared" si="8"/>
        <v>0</v>
      </c>
      <c r="O14" s="64">
        <f t="shared" si="8"/>
        <v>0</v>
      </c>
      <c r="P14" s="64">
        <f t="shared" si="8"/>
        <v>0</v>
      </c>
      <c r="Q14" s="64">
        <f t="shared" si="8"/>
        <v>0</v>
      </c>
      <c r="R14" s="64">
        <f t="shared" si="8"/>
        <v>0</v>
      </c>
      <c r="S14" s="64">
        <f t="shared" si="8"/>
        <v>0</v>
      </c>
      <c r="T14" s="64">
        <f t="shared" si="8"/>
        <v>0</v>
      </c>
      <c r="U14" s="64">
        <f t="shared" si="9"/>
        <v>0</v>
      </c>
      <c r="V14" s="64">
        <f t="shared" si="9"/>
        <v>0</v>
      </c>
      <c r="W14" s="64">
        <f t="shared" si="9"/>
        <v>0</v>
      </c>
      <c r="X14" s="64">
        <f t="shared" si="9"/>
        <v>0</v>
      </c>
      <c r="Y14" s="64">
        <f t="shared" si="9"/>
        <v>0</v>
      </c>
      <c r="Z14" s="64">
        <f t="shared" si="9"/>
        <v>0</v>
      </c>
      <c r="AA14" s="64">
        <f t="shared" si="9"/>
        <v>0</v>
      </c>
    </row>
    <row r="15" spans="1:30" ht="15" x14ac:dyDescent="0.25">
      <c r="A15" s="5" t="s">
        <v>110</v>
      </c>
      <c r="B15" s="5"/>
      <c r="C15" s="6">
        <v>0</v>
      </c>
      <c r="D15" s="64">
        <f>C15</f>
        <v>0</v>
      </c>
      <c r="E15" s="64">
        <f t="shared" si="8"/>
        <v>0</v>
      </c>
      <c r="F15" s="64">
        <f t="shared" si="8"/>
        <v>0</v>
      </c>
      <c r="G15" s="64">
        <f t="shared" si="8"/>
        <v>0</v>
      </c>
      <c r="H15" s="64">
        <f t="shared" si="8"/>
        <v>0</v>
      </c>
      <c r="I15" s="64">
        <f t="shared" si="8"/>
        <v>0</v>
      </c>
      <c r="J15" s="64">
        <f t="shared" si="8"/>
        <v>0</v>
      </c>
      <c r="K15" s="64">
        <f t="shared" si="8"/>
        <v>0</v>
      </c>
      <c r="L15" s="64">
        <f t="shared" si="8"/>
        <v>0</v>
      </c>
      <c r="M15" s="64">
        <f t="shared" si="8"/>
        <v>0</v>
      </c>
      <c r="N15" s="64">
        <f t="shared" si="8"/>
        <v>0</v>
      </c>
      <c r="O15" s="64">
        <f t="shared" si="8"/>
        <v>0</v>
      </c>
      <c r="P15" s="64">
        <f t="shared" si="8"/>
        <v>0</v>
      </c>
      <c r="Q15" s="64">
        <f t="shared" si="8"/>
        <v>0</v>
      </c>
      <c r="R15" s="64">
        <f t="shared" si="8"/>
        <v>0</v>
      </c>
      <c r="S15" s="64">
        <f t="shared" si="8"/>
        <v>0</v>
      </c>
      <c r="T15" s="64">
        <f t="shared" si="8"/>
        <v>0</v>
      </c>
      <c r="U15" s="64">
        <f t="shared" si="9"/>
        <v>0</v>
      </c>
      <c r="V15" s="64">
        <f t="shared" si="9"/>
        <v>0</v>
      </c>
      <c r="W15" s="64">
        <f t="shared" si="9"/>
        <v>0</v>
      </c>
      <c r="X15" s="64">
        <f t="shared" si="9"/>
        <v>0</v>
      </c>
      <c r="Y15" s="64">
        <f t="shared" si="9"/>
        <v>0</v>
      </c>
      <c r="Z15" s="64">
        <f t="shared" si="9"/>
        <v>0</v>
      </c>
      <c r="AA15" s="64">
        <f t="shared" si="9"/>
        <v>0</v>
      </c>
    </row>
    <row r="16" spans="1:30" ht="15" x14ac:dyDescent="0.25">
      <c r="A16" s="5" t="s">
        <v>112</v>
      </c>
      <c r="B16" s="5"/>
      <c r="C16" s="6">
        <v>0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</row>
    <row r="17" spans="1:27" ht="15" x14ac:dyDescent="0.25">
      <c r="A17" s="5" t="s">
        <v>113</v>
      </c>
      <c r="B17" s="5"/>
      <c r="C17" s="6">
        <v>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</row>
    <row r="18" spans="1:27" ht="15" x14ac:dyDescent="0.25">
      <c r="A18" s="1" t="s">
        <v>111</v>
      </c>
      <c r="B18" s="5"/>
      <c r="C18" s="65">
        <f>SUM(C13:C17)</f>
        <v>0</v>
      </c>
      <c r="D18" s="65">
        <f t="shared" ref="D18:AA18" si="10">SUM(D13:D17)</f>
        <v>0</v>
      </c>
      <c r="E18" s="65">
        <f t="shared" si="10"/>
        <v>0</v>
      </c>
      <c r="F18" s="65">
        <f t="shared" si="10"/>
        <v>0</v>
      </c>
      <c r="G18" s="65">
        <f t="shared" si="10"/>
        <v>0</v>
      </c>
      <c r="H18" s="65">
        <f t="shared" si="10"/>
        <v>0</v>
      </c>
      <c r="I18" s="65">
        <f t="shared" si="10"/>
        <v>0</v>
      </c>
      <c r="J18" s="65">
        <f t="shared" si="10"/>
        <v>0</v>
      </c>
      <c r="K18" s="65">
        <f t="shared" si="10"/>
        <v>0</v>
      </c>
      <c r="L18" s="65">
        <f t="shared" si="10"/>
        <v>0</v>
      </c>
      <c r="M18" s="65">
        <f t="shared" si="10"/>
        <v>0</v>
      </c>
      <c r="N18" s="65">
        <f t="shared" si="10"/>
        <v>0</v>
      </c>
      <c r="O18" s="65">
        <f t="shared" si="10"/>
        <v>0</v>
      </c>
      <c r="P18" s="65">
        <f t="shared" si="10"/>
        <v>0</v>
      </c>
      <c r="Q18" s="65">
        <f t="shared" si="10"/>
        <v>0</v>
      </c>
      <c r="R18" s="65">
        <f t="shared" si="10"/>
        <v>0</v>
      </c>
      <c r="S18" s="65">
        <f t="shared" si="10"/>
        <v>0</v>
      </c>
      <c r="T18" s="65">
        <f t="shared" si="10"/>
        <v>0</v>
      </c>
      <c r="U18" s="65">
        <f t="shared" si="10"/>
        <v>0</v>
      </c>
      <c r="V18" s="65">
        <f t="shared" si="10"/>
        <v>0</v>
      </c>
      <c r="W18" s="65">
        <f t="shared" si="10"/>
        <v>0</v>
      </c>
      <c r="X18" s="65">
        <f t="shared" si="10"/>
        <v>0</v>
      </c>
      <c r="Y18" s="65">
        <f t="shared" si="10"/>
        <v>0</v>
      </c>
      <c r="Z18" s="65">
        <f t="shared" si="10"/>
        <v>0</v>
      </c>
      <c r="AA18" s="65">
        <f t="shared" si="10"/>
        <v>0</v>
      </c>
    </row>
    <row r="19" spans="1:27" ht="15" x14ac:dyDescent="0.25">
      <c r="A19" s="66" t="s">
        <v>116</v>
      </c>
      <c r="B19" s="66" t="s">
        <v>1</v>
      </c>
      <c r="C19" s="67">
        <f t="shared" ref="C19:AA19" si="11">C18+C11</f>
        <v>2847</v>
      </c>
      <c r="D19" s="67">
        <f t="shared" si="11"/>
        <v>3201</v>
      </c>
      <c r="E19" s="67">
        <f t="shared" si="11"/>
        <v>3838</v>
      </c>
      <c r="F19" s="67">
        <f t="shared" si="11"/>
        <v>4202</v>
      </c>
      <c r="G19" s="67">
        <f t="shared" si="11"/>
        <v>4545</v>
      </c>
      <c r="H19" s="67">
        <f t="shared" si="11"/>
        <v>4658.9999999999991</v>
      </c>
      <c r="I19" s="67">
        <f t="shared" si="11"/>
        <v>4934.9999999999991</v>
      </c>
      <c r="J19" s="67">
        <f t="shared" si="11"/>
        <v>5172.9999999999991</v>
      </c>
      <c r="K19" s="67">
        <f t="shared" si="11"/>
        <v>5297.9999999999991</v>
      </c>
      <c r="L19" s="67">
        <f t="shared" si="11"/>
        <v>5410.9999999999991</v>
      </c>
      <c r="M19" s="67">
        <f t="shared" si="11"/>
        <v>5919</v>
      </c>
      <c r="N19" s="67">
        <f t="shared" si="11"/>
        <v>6246.9999999999991</v>
      </c>
      <c r="O19" s="67">
        <f t="shared" si="11"/>
        <v>6743.9999999999991</v>
      </c>
      <c r="P19" s="67">
        <f t="shared" si="11"/>
        <v>6847.9999999999991</v>
      </c>
      <c r="Q19" s="67">
        <f t="shared" si="11"/>
        <v>6949</v>
      </c>
      <c r="R19" s="67">
        <f t="shared" si="11"/>
        <v>7049.0000000000009</v>
      </c>
      <c r="S19" s="67">
        <f t="shared" si="11"/>
        <v>7147</v>
      </c>
      <c r="T19" s="67">
        <f t="shared" si="11"/>
        <v>7243</v>
      </c>
      <c r="U19" s="67">
        <f t="shared" si="11"/>
        <v>7336.0000000000009</v>
      </c>
      <c r="V19" s="67">
        <f t="shared" si="11"/>
        <v>7430.1941184592024</v>
      </c>
      <c r="W19" s="67">
        <f t="shared" si="11"/>
        <v>7525.5976878388392</v>
      </c>
      <c r="X19" s="67">
        <f t="shared" si="11"/>
        <v>7622.2262374686907</v>
      </c>
      <c r="Y19" s="67">
        <f t="shared" si="11"/>
        <v>7720.0954960748741</v>
      </c>
      <c r="Z19" s="67">
        <f t="shared" si="11"/>
        <v>7819.2213943400902</v>
      </c>
      <c r="AA19" s="67">
        <f t="shared" si="11"/>
        <v>7872.5065246777358</v>
      </c>
    </row>
    <row r="20" spans="1:27" ht="15" x14ac:dyDescent="0.25">
      <c r="A20" s="3" t="s">
        <v>120</v>
      </c>
      <c r="B20" s="5" t="s">
        <v>1</v>
      </c>
      <c r="C20" s="6">
        <f>VLOOKUP($A$2,AR2008_Stats!$B$4:$O$15,AR2008_Stats!K$1,FALSE)</f>
        <v>2572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 x14ac:dyDescent="0.25">
      <c r="A21" s="3" t="s">
        <v>121</v>
      </c>
      <c r="B21" s="5" t="s">
        <v>1</v>
      </c>
      <c r="C21" s="6">
        <f>VLOOKUP($A$2,AR2008_Stats!$B$4:$O$15,AR2008_Stats!J$1,FALSE)</f>
        <v>657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7" ht="15" x14ac:dyDescent="0.25">
      <c r="A22" s="66" t="s">
        <v>119</v>
      </c>
      <c r="B22" s="66" t="s">
        <v>1</v>
      </c>
      <c r="C22" s="67">
        <f>C21+C20</f>
        <v>3229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7" x14ac:dyDescent="0.2">
      <c r="A23" s="3" t="s">
        <v>88</v>
      </c>
    </row>
    <row r="24" spans="1:27" ht="15" x14ac:dyDescent="0.25">
      <c r="A24" s="1" t="s">
        <v>76</v>
      </c>
      <c r="B24" s="5" t="s">
        <v>1</v>
      </c>
      <c r="C24" s="74">
        <f>VLOOKUP($A$2,'[1]Total Existing Capacity'!$A$3:$J$14,9,FALSE)</f>
        <v>925.07954688000007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7" x14ac:dyDescent="0.2">
      <c r="A25" s="1" t="s">
        <v>89</v>
      </c>
      <c r="B25" s="5"/>
      <c r="C25" s="30">
        <f>(C20+C24)/C11-1</f>
        <v>0.22833844288022487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7" x14ac:dyDescent="0.2">
      <c r="A26" s="1" t="s">
        <v>90</v>
      </c>
      <c r="B26" s="5"/>
      <c r="C26" s="30">
        <f>(C20+C24-C13)/C11-1</f>
        <v>0.22833844288022487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7" x14ac:dyDescent="0.2">
      <c r="A27" s="1" t="s">
        <v>91</v>
      </c>
      <c r="B27" s="5"/>
      <c r="C27" s="30">
        <f>C24/C11-1</f>
        <v>-0.67506865230769231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7" x14ac:dyDescent="0.2">
      <c r="A28" s="1" t="s">
        <v>92</v>
      </c>
      <c r="B28" s="5"/>
      <c r="C28" s="30">
        <f>(C24-C13)/C11-1</f>
        <v>-0.67506865230769231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7" ht="15" x14ac:dyDescent="0.25">
      <c r="A29" s="1" t="s">
        <v>77</v>
      </c>
      <c r="B29" s="5" t="s">
        <v>1</v>
      </c>
      <c r="C29" s="74">
        <f>VLOOKUP($A$2,'[1]Total Existing Capacity'!$A$3:$J$14,10,FALSE)</f>
        <v>925.07954688000007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7" x14ac:dyDescent="0.2">
      <c r="A30" s="1" t="s">
        <v>93</v>
      </c>
      <c r="B30" s="5"/>
      <c r="C30" s="30">
        <f>C29/C11-1</f>
        <v>-0.67506865230769231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7" x14ac:dyDescent="0.2">
      <c r="A31" s="1" t="s">
        <v>94</v>
      </c>
      <c r="B31" s="5"/>
      <c r="C31" s="30">
        <f>(C29-C13)/C11-1</f>
        <v>-0.67506865230769231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7" ht="15" x14ac:dyDescent="0.25">
      <c r="A32" s="1" t="s">
        <v>74</v>
      </c>
      <c r="B32" s="2" t="s">
        <v>10</v>
      </c>
      <c r="C32" s="27">
        <f>IF(B3="AR 2008",VLOOKUP($A$2,AR2008_Stats!$B$4:$O$15,AR2008_Stats!F$1,FALSE),C47)</f>
        <v>499</v>
      </c>
      <c r="D32" s="28">
        <f>D19/(D33*8.76)</f>
        <v>563</v>
      </c>
      <c r="E32" s="28">
        <f t="shared" ref="E32:Z32" si="12">E19/(E33*8.76)</f>
        <v>675.00000000000011</v>
      </c>
      <c r="F32" s="28">
        <f t="shared" si="12"/>
        <v>737</v>
      </c>
      <c r="G32" s="28">
        <f t="shared" si="12"/>
        <v>795</v>
      </c>
      <c r="H32" s="28">
        <f t="shared" si="12"/>
        <v>816.99999999999989</v>
      </c>
      <c r="I32" s="28">
        <f t="shared" si="12"/>
        <v>863.99999999999977</v>
      </c>
      <c r="J32" s="28">
        <f t="shared" si="12"/>
        <v>903.99999999999989</v>
      </c>
      <c r="K32" s="28">
        <f t="shared" si="12"/>
        <v>927.99999999999989</v>
      </c>
      <c r="L32" s="28">
        <f t="shared" si="12"/>
        <v>951</v>
      </c>
      <c r="M32" s="28">
        <f t="shared" si="12"/>
        <v>1034</v>
      </c>
      <c r="N32" s="28">
        <f t="shared" si="12"/>
        <v>1088.9999999999998</v>
      </c>
      <c r="O32" s="28">
        <f t="shared" si="12"/>
        <v>1163.9999999999998</v>
      </c>
      <c r="P32" s="28">
        <f t="shared" si="12"/>
        <v>1182.9999999999998</v>
      </c>
      <c r="Q32" s="28">
        <f t="shared" si="12"/>
        <v>1202</v>
      </c>
      <c r="R32" s="28">
        <f t="shared" si="12"/>
        <v>1221.0000000000002</v>
      </c>
      <c r="S32" s="28">
        <f t="shared" si="12"/>
        <v>1237.9999999999998</v>
      </c>
      <c r="T32" s="28">
        <f t="shared" si="12"/>
        <v>1255</v>
      </c>
      <c r="U32" s="28">
        <f t="shared" si="12"/>
        <v>1271.1141792075107</v>
      </c>
      <c r="V32" s="28">
        <f t="shared" si="12"/>
        <v>1287.4352642090705</v>
      </c>
      <c r="W32" s="28">
        <f t="shared" si="12"/>
        <v>1303.9659116716475</v>
      </c>
      <c r="X32" s="28">
        <f t="shared" si="12"/>
        <v>1320.7088123737685</v>
      </c>
      <c r="Y32" s="28">
        <f t="shared" si="12"/>
        <v>1337.6666916435133</v>
      </c>
      <c r="Z32" s="28">
        <f t="shared" si="12"/>
        <v>1354.8423098021278</v>
      </c>
    </row>
    <row r="33" spans="1:27" ht="15" x14ac:dyDescent="0.25">
      <c r="A33" s="1" t="s">
        <v>7</v>
      </c>
      <c r="C33" s="14">
        <f>C19/(C32*8.76)</f>
        <v>0.65130260521042083</v>
      </c>
      <c r="D33" s="14">
        <f t="shared" ref="D33:T33" si="13">IF(B3="AR 2008",D49,D50)</f>
        <v>0.64904255577994596</v>
      </c>
      <c r="E33" s="14">
        <f t="shared" si="13"/>
        <v>0.64907830204633854</v>
      </c>
      <c r="F33" s="14">
        <f t="shared" si="13"/>
        <v>0.65085531247870243</v>
      </c>
      <c r="G33" s="14">
        <f t="shared" si="13"/>
        <v>0.65262341690359271</v>
      </c>
      <c r="H33" s="14">
        <f t="shared" si="13"/>
        <v>0.65097835381700508</v>
      </c>
      <c r="I33" s="14">
        <f t="shared" si="13"/>
        <v>0.6520325976661594</v>
      </c>
      <c r="J33" s="14">
        <f t="shared" si="13"/>
        <v>0.6532357457469592</v>
      </c>
      <c r="K33" s="14">
        <f t="shared" si="13"/>
        <v>0.65171823334907886</v>
      </c>
      <c r="L33" s="14">
        <f t="shared" si="13"/>
        <v>0.64952057195261892</v>
      </c>
      <c r="M33" s="14">
        <f t="shared" si="13"/>
        <v>0.65346705174743647</v>
      </c>
      <c r="N33" s="14">
        <f t="shared" si="13"/>
        <v>0.65484651412422279</v>
      </c>
      <c r="O33" s="14">
        <f t="shared" si="13"/>
        <v>0.66139434166548983</v>
      </c>
      <c r="P33" s="14">
        <f t="shared" si="13"/>
        <v>0.66080740474839528</v>
      </c>
      <c r="Q33" s="14">
        <f t="shared" si="13"/>
        <v>0.65995410996892545</v>
      </c>
      <c r="R33" s="14">
        <f t="shared" si="13"/>
        <v>0.65903387821196047</v>
      </c>
      <c r="S33" s="14">
        <f t="shared" si="13"/>
        <v>0.65902066228487555</v>
      </c>
      <c r="T33" s="14">
        <f t="shared" si="13"/>
        <v>0.65882588367989237</v>
      </c>
      <c r="U33" s="14">
        <f>T33</f>
        <v>0.65882588367989237</v>
      </c>
      <c r="V33" s="14">
        <f t="shared" ref="V33:Z33" si="14">U33</f>
        <v>0.65882588367989237</v>
      </c>
      <c r="W33" s="14">
        <f t="shared" si="14"/>
        <v>0.65882588367989237</v>
      </c>
      <c r="X33" s="14">
        <f t="shared" si="14"/>
        <v>0.65882588367989237</v>
      </c>
      <c r="Y33" s="14">
        <f t="shared" si="14"/>
        <v>0.65882588367989237</v>
      </c>
      <c r="Z33" s="14">
        <f t="shared" si="14"/>
        <v>0.65882588367989237</v>
      </c>
    </row>
    <row r="34" spans="1:27" ht="15" x14ac:dyDescent="0.25">
      <c r="A34" s="1" t="s">
        <v>8</v>
      </c>
      <c r="C34" s="15"/>
      <c r="D34" s="15">
        <f t="shared" ref="D34:J34" si="15">D32/C32-1</f>
        <v>0.12825651302605201</v>
      </c>
      <c r="E34" s="15">
        <f t="shared" si="15"/>
        <v>0.19893428063943186</v>
      </c>
      <c r="F34" s="15">
        <f t="shared" si="15"/>
        <v>9.1851851851851629E-2</v>
      </c>
      <c r="G34" s="15">
        <f t="shared" si="15"/>
        <v>7.8697421981004156E-2</v>
      </c>
      <c r="H34" s="15">
        <f t="shared" si="15"/>
        <v>2.7672955974842539E-2</v>
      </c>
      <c r="I34" s="15">
        <f t="shared" si="15"/>
        <v>5.7527539779681724E-2</v>
      </c>
      <c r="J34" s="15">
        <f t="shared" si="15"/>
        <v>4.6296296296296502E-2</v>
      </c>
    </row>
    <row r="35" spans="1:27" ht="15" x14ac:dyDescent="0.25">
      <c r="A35" s="1" t="s">
        <v>75</v>
      </c>
      <c r="B35" s="2" t="s">
        <v>10</v>
      </c>
      <c r="C35" s="35">
        <f>IF(B3="AR 2008",C52,C53)</f>
        <v>120</v>
      </c>
      <c r="D35" s="15"/>
      <c r="E35" s="15"/>
      <c r="F35" s="15"/>
      <c r="G35" s="15"/>
      <c r="H35" s="15"/>
      <c r="I35" s="15"/>
      <c r="J35" s="15"/>
    </row>
    <row r="36" spans="1:27" s="1" customFormat="1" x14ac:dyDescent="0.2">
      <c r="A36" s="1" t="s">
        <v>81</v>
      </c>
      <c r="B36" s="1" t="s">
        <v>10</v>
      </c>
      <c r="C36" s="72">
        <f>MAX(0,C32-C35)</f>
        <v>379</v>
      </c>
      <c r="D36" s="77">
        <f>C20/(C33*8.76)</f>
        <v>450.80014049877065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1:27" ht="15" x14ac:dyDescent="0.25">
      <c r="A37" s="1" t="s">
        <v>79</v>
      </c>
      <c r="C37" s="15">
        <f>C35/C32-1</f>
        <v>-0.75951903807615229</v>
      </c>
      <c r="D37" s="34">
        <f>C37</f>
        <v>-0.75951903807615229</v>
      </c>
      <c r="E37" s="34">
        <f t="shared" ref="E37:AA37" si="16">D37</f>
        <v>-0.75951903807615229</v>
      </c>
      <c r="F37" s="34">
        <f t="shared" si="16"/>
        <v>-0.75951903807615229</v>
      </c>
      <c r="G37" s="34">
        <f t="shared" si="16"/>
        <v>-0.75951903807615229</v>
      </c>
      <c r="H37" s="34">
        <f t="shared" si="16"/>
        <v>-0.75951903807615229</v>
      </c>
      <c r="I37" s="34">
        <f t="shared" si="16"/>
        <v>-0.75951903807615229</v>
      </c>
      <c r="J37" s="34">
        <f t="shared" si="16"/>
        <v>-0.75951903807615229</v>
      </c>
      <c r="K37" s="34">
        <f t="shared" si="16"/>
        <v>-0.75951903807615229</v>
      </c>
      <c r="L37" s="34">
        <f t="shared" si="16"/>
        <v>-0.75951903807615229</v>
      </c>
      <c r="M37" s="34">
        <f t="shared" si="16"/>
        <v>-0.75951903807615229</v>
      </c>
      <c r="N37" s="34">
        <f t="shared" si="16"/>
        <v>-0.75951903807615229</v>
      </c>
      <c r="O37" s="34">
        <f t="shared" si="16"/>
        <v>-0.75951903807615229</v>
      </c>
      <c r="P37" s="34">
        <f t="shared" si="16"/>
        <v>-0.75951903807615229</v>
      </c>
      <c r="Q37" s="34">
        <f t="shared" si="16"/>
        <v>-0.75951903807615229</v>
      </c>
      <c r="R37" s="34">
        <f t="shared" si="16"/>
        <v>-0.75951903807615229</v>
      </c>
      <c r="S37" s="34">
        <f t="shared" si="16"/>
        <v>-0.75951903807615229</v>
      </c>
      <c r="T37" s="34">
        <f t="shared" si="16"/>
        <v>-0.75951903807615229</v>
      </c>
      <c r="U37" s="34">
        <f t="shared" si="16"/>
        <v>-0.75951903807615229</v>
      </c>
      <c r="V37" s="34">
        <f t="shared" si="16"/>
        <v>-0.75951903807615229</v>
      </c>
      <c r="W37" s="34">
        <f t="shared" si="16"/>
        <v>-0.75951903807615229</v>
      </c>
      <c r="X37" s="34">
        <f t="shared" si="16"/>
        <v>-0.75951903807615229</v>
      </c>
      <c r="Y37" s="34">
        <f t="shared" si="16"/>
        <v>-0.75951903807615229</v>
      </c>
      <c r="Z37" s="34">
        <f t="shared" si="16"/>
        <v>-0.75951903807615229</v>
      </c>
      <c r="AA37" s="34">
        <f t="shared" si="16"/>
        <v>-0.75951903807615229</v>
      </c>
    </row>
    <row r="38" spans="1:27" ht="15" x14ac:dyDescent="0.25">
      <c r="A38" s="1"/>
      <c r="C38" s="15"/>
      <c r="D38" s="15"/>
      <c r="E38" s="15"/>
      <c r="F38" s="15"/>
      <c r="G38" s="15"/>
      <c r="H38" s="15"/>
      <c r="I38" s="15"/>
      <c r="J38" s="15"/>
    </row>
    <row r="39" spans="1:27" ht="15" x14ac:dyDescent="0.25">
      <c r="A39" s="3" t="s">
        <v>78</v>
      </c>
      <c r="C39" s="15"/>
      <c r="D39" s="36"/>
      <c r="E39" s="36"/>
      <c r="F39" s="36"/>
      <c r="G39" s="36"/>
      <c r="H39" s="36"/>
      <c r="I39" s="35"/>
      <c r="J39" s="35"/>
    </row>
    <row r="40" spans="1:27" ht="15" x14ac:dyDescent="0.25">
      <c r="A40" s="1" t="s">
        <v>69</v>
      </c>
      <c r="B40" s="1" t="s">
        <v>1</v>
      </c>
      <c r="D40" s="23">
        <f>SUMIF(AR2008_EnergyProj!$A$3:$A$14,BOT!$A$2,AR2008_EnergyProj!B$3:B$14)</f>
        <v>0</v>
      </c>
      <c r="E40" s="23">
        <f>SUMIF(AR2008_EnergyProj!$A$3:$A$14,BOT!$A$2,AR2008_EnergyProj!C$3:C$14)</f>
        <v>0</v>
      </c>
      <c r="F40" s="23">
        <f>SUMIF(AR2008_EnergyProj!$A$3:$A$14,BOT!$A$2,AR2008_EnergyProj!D$3:D$14)</f>
        <v>0</v>
      </c>
      <c r="G40" s="23">
        <f>SUMIF(AR2008_EnergyProj!$A$3:$A$14,BOT!$A$2,AR2008_EnergyProj!E$3:E$14)</f>
        <v>0</v>
      </c>
      <c r="H40" s="23">
        <f>SUMIF(AR2008_EnergyProj!$A$3:$A$14,BOT!$A$2,AR2008_EnergyProj!F$3:F$14)</f>
        <v>0</v>
      </c>
      <c r="I40" s="23">
        <f>SUMIF(AR2008_EnergyProj!$A$3:$A$14,BOT!$A$2,AR2008_EnergyProj!G$3:G$14)</f>
        <v>0</v>
      </c>
      <c r="J40" s="23">
        <f>SUMIF(AR2008_EnergyProj!$A$3:$A$14,BOT!$A$2,AR2008_EnergyProj!H$3:H$14)</f>
        <v>0</v>
      </c>
      <c r="K40" s="23">
        <f>SUMIF(AR2008_EnergyProj!$A$3:$A$14,BOT!$A$2,AR2008_EnergyProj!I$3:I$14)</f>
        <v>0</v>
      </c>
      <c r="L40" s="23">
        <f>SUMIF(AR2008_EnergyProj!$A$3:$A$14,BOT!$A$2,AR2008_EnergyProj!J$3:J$14)</f>
        <v>0</v>
      </c>
      <c r="M40" s="23">
        <f>SUMIF(AR2008_EnergyProj!$A$3:$A$14,BOT!$A$2,AR2008_EnergyProj!K$3:K$14)</f>
        <v>0</v>
      </c>
      <c r="N40" s="23">
        <f>SUMIF(AR2008_EnergyProj!$A$3:$A$14,BOT!$A$2,AR2008_EnergyProj!L$3:L$14)</f>
        <v>0</v>
      </c>
      <c r="O40" s="23">
        <f>SUMIF(AR2008_EnergyProj!$A$3:$A$14,BOT!$A$2,AR2008_EnergyProj!M$3:M$14)</f>
        <v>0</v>
      </c>
      <c r="P40" s="23">
        <f>SUMIF(AR2008_EnergyProj!$A$3:$A$14,BOT!$A$2,AR2008_EnergyProj!N$3:N$14)</f>
        <v>0</v>
      </c>
      <c r="Q40" s="23">
        <f>SUMIF(AR2008_EnergyProj!$A$3:$A$14,BOT!$A$2,AR2008_EnergyProj!O$3:O$14)</f>
        <v>0</v>
      </c>
      <c r="R40" s="23">
        <f>SUMIF(AR2008_EnergyProj!$A$3:$A$14,BOT!$A$2,AR2008_EnergyProj!P$3:P$14)</f>
        <v>0</v>
      </c>
      <c r="S40" s="23">
        <f>SUMIF(AR2008_EnergyProj!$A$3:$A$14,BOT!$A$2,AR2008_EnergyProj!Q$3:Q$14)</f>
        <v>0</v>
      </c>
      <c r="T40" s="23">
        <f>SUMIF(AR2008_EnergyProj!$A$3:$A$14,BOT!$A$2,AR2008_EnergyProj!R$3:R$14)</f>
        <v>0</v>
      </c>
    </row>
    <row r="41" spans="1:27" ht="15" x14ac:dyDescent="0.25">
      <c r="A41" s="1" t="s">
        <v>11</v>
      </c>
      <c r="B41" s="1"/>
      <c r="D41" s="26">
        <f>VLOOKUP($A$2,AR2008_Stats!$B$4:$O$15,AR2008_Stats!I$1,FALSE)/100</f>
        <v>1.3999999999999999E-2</v>
      </c>
      <c r="E41" s="18" t="e">
        <f>E40/D40-1</f>
        <v>#DIV/0!</v>
      </c>
      <c r="F41" s="18" t="e">
        <f t="shared" ref="F41:T41" si="17">F40/E40-1</f>
        <v>#DIV/0!</v>
      </c>
      <c r="G41" s="18" t="e">
        <f t="shared" si="17"/>
        <v>#DIV/0!</v>
      </c>
      <c r="H41" s="18" t="e">
        <f t="shared" si="17"/>
        <v>#DIV/0!</v>
      </c>
      <c r="I41" s="18" t="e">
        <f t="shared" si="17"/>
        <v>#DIV/0!</v>
      </c>
      <c r="J41" s="18" t="e">
        <f t="shared" si="17"/>
        <v>#DIV/0!</v>
      </c>
      <c r="K41" s="18" t="e">
        <f t="shared" si="17"/>
        <v>#DIV/0!</v>
      </c>
      <c r="L41" s="18" t="e">
        <f t="shared" si="17"/>
        <v>#DIV/0!</v>
      </c>
      <c r="M41" s="18" t="e">
        <f t="shared" si="17"/>
        <v>#DIV/0!</v>
      </c>
      <c r="N41" s="18" t="e">
        <f t="shared" si="17"/>
        <v>#DIV/0!</v>
      </c>
      <c r="O41" s="18" t="e">
        <f t="shared" si="17"/>
        <v>#DIV/0!</v>
      </c>
      <c r="P41" s="18" t="e">
        <f t="shared" si="17"/>
        <v>#DIV/0!</v>
      </c>
      <c r="Q41" s="18" t="e">
        <f t="shared" si="17"/>
        <v>#DIV/0!</v>
      </c>
      <c r="R41" s="18" t="e">
        <f t="shared" si="17"/>
        <v>#DIV/0!</v>
      </c>
      <c r="S41" s="18" t="e">
        <f t="shared" si="17"/>
        <v>#DIV/0!</v>
      </c>
      <c r="T41" s="18" t="e">
        <f t="shared" si="17"/>
        <v>#DIV/0!</v>
      </c>
      <c r="U41" s="4" t="e">
        <f>T41</f>
        <v>#DIV/0!</v>
      </c>
    </row>
    <row r="42" spans="1:27" ht="15" x14ac:dyDescent="0.25">
      <c r="A42" s="1" t="s">
        <v>40</v>
      </c>
      <c r="B42" s="1" t="s">
        <v>1</v>
      </c>
      <c r="C42" s="23">
        <f>SUMIF(PoolPlan_EnergyProj!$B$60:$B$71,BOT!$A$2,PoolPlan_EnergyProj!D$60:D$71)</f>
        <v>2847</v>
      </c>
      <c r="D42" s="23">
        <f>SUMIF(PoolPlan_EnergyProj!$B$60:$B$71,BOT!$A$2,PoolPlan_EnergyProj!E$60:E$71)</f>
        <v>3201</v>
      </c>
      <c r="E42" s="23">
        <f>SUMIF(PoolPlan_EnergyProj!$B$60:$B$71,BOT!$A$2,PoolPlan_EnergyProj!F$60:F$71)</f>
        <v>3838</v>
      </c>
      <c r="F42" s="23">
        <f>SUMIF(PoolPlan_EnergyProj!$B$60:$B$71,BOT!$A$2,PoolPlan_EnergyProj!G$60:G$71)</f>
        <v>4202</v>
      </c>
      <c r="G42" s="23">
        <f>SUMIF(PoolPlan_EnergyProj!$B$60:$B$71,BOT!$A$2,PoolPlan_EnergyProj!H$60:H$71)</f>
        <v>4545</v>
      </c>
      <c r="H42" s="23">
        <f>SUMIF(PoolPlan_EnergyProj!$B$60:$B$71,BOT!$A$2,PoolPlan_EnergyProj!I$60:I$71)</f>
        <v>4659</v>
      </c>
      <c r="I42" s="23">
        <f>SUMIF(PoolPlan_EnergyProj!$B$60:$B$71,BOT!$A$2,PoolPlan_EnergyProj!J$60:J$71)</f>
        <v>4935</v>
      </c>
      <c r="J42" s="23">
        <f>SUMIF(PoolPlan_EnergyProj!$B$60:$B$71,BOT!$A$2,PoolPlan_EnergyProj!K$60:K$71)</f>
        <v>5173</v>
      </c>
      <c r="K42" s="23">
        <f>SUMIF(PoolPlan_EnergyProj!$B$60:$B$71,BOT!$A$2,PoolPlan_EnergyProj!L$60:L$71)</f>
        <v>5298</v>
      </c>
      <c r="L42" s="23">
        <f>SUMIF(PoolPlan_EnergyProj!$B$60:$B$71,BOT!$A$2,PoolPlan_EnergyProj!M$60:M$71)</f>
        <v>5411</v>
      </c>
      <c r="M42" s="23">
        <f>SUMIF(PoolPlan_EnergyProj!$B$60:$B$71,BOT!$A$2,PoolPlan_EnergyProj!N$60:N$71)</f>
        <v>5919</v>
      </c>
      <c r="N42" s="23">
        <f>SUMIF(PoolPlan_EnergyProj!$B$60:$B$71,BOT!$A$2,PoolPlan_EnergyProj!O$60:O$71)</f>
        <v>6247</v>
      </c>
      <c r="O42" s="23">
        <f>SUMIF(PoolPlan_EnergyProj!$B$60:$B$71,BOT!$A$2,PoolPlan_EnergyProj!P$60:P$71)</f>
        <v>6744</v>
      </c>
      <c r="P42" s="23">
        <f>SUMIF(PoolPlan_EnergyProj!$B$60:$B$71,BOT!$A$2,PoolPlan_EnergyProj!Q$60:Q$71)</f>
        <v>6848</v>
      </c>
      <c r="Q42" s="23">
        <f>SUMIF(PoolPlan_EnergyProj!$B$60:$B$71,BOT!$A$2,PoolPlan_EnergyProj!R$60:R$71)</f>
        <v>6949</v>
      </c>
      <c r="R42" s="23">
        <f>SUMIF(PoolPlan_EnergyProj!$B$60:$B$71,BOT!$A$2,PoolPlan_EnergyProj!S$60:S$71)</f>
        <v>7049</v>
      </c>
      <c r="S42" s="23">
        <f>SUMIF(PoolPlan_EnergyProj!$B$60:$B$71,BOT!$A$2,PoolPlan_EnergyProj!T$60:T$71)</f>
        <v>7147</v>
      </c>
      <c r="T42" s="23">
        <f>SUMIF(PoolPlan_EnergyProj!$B$60:$B$71,BOT!$A$2,PoolPlan_EnergyProj!U$60:U$71)</f>
        <v>7243</v>
      </c>
      <c r="U42" s="23">
        <f>SUMIF(PoolPlan_EnergyProj!$B$60:$B$71,BOT!$A$2,PoolPlan_EnergyProj!V$60:V$71)</f>
        <v>7336</v>
      </c>
      <c r="V42" s="23"/>
    </row>
    <row r="43" spans="1:27" x14ac:dyDescent="0.2">
      <c r="A43" s="1" t="s">
        <v>11</v>
      </c>
      <c r="B43" s="1"/>
      <c r="C43" s="16"/>
      <c r="D43" s="18">
        <f>D42/C42-1</f>
        <v>0.12434141201264493</v>
      </c>
      <c r="E43" s="18">
        <f t="shared" ref="E43:U43" si="18">E42/D42-1</f>
        <v>0.19900031240237426</v>
      </c>
      <c r="F43" s="18">
        <f t="shared" si="18"/>
        <v>9.4841063053673791E-2</v>
      </c>
      <c r="G43" s="18">
        <f t="shared" si="18"/>
        <v>8.1627796287482068E-2</v>
      </c>
      <c r="H43" s="18">
        <f t="shared" si="18"/>
        <v>2.5082508250825031E-2</v>
      </c>
      <c r="I43" s="18">
        <f t="shared" si="18"/>
        <v>5.9240180296200817E-2</v>
      </c>
      <c r="J43" s="18">
        <f t="shared" si="18"/>
        <v>4.8226950354609999E-2</v>
      </c>
      <c r="K43" s="18">
        <f t="shared" si="18"/>
        <v>2.4163928088150044E-2</v>
      </c>
      <c r="L43" s="18">
        <f t="shared" si="18"/>
        <v>2.1328803322008261E-2</v>
      </c>
      <c r="M43" s="18">
        <f t="shared" si="18"/>
        <v>9.3882831269636036E-2</v>
      </c>
      <c r="N43" s="18">
        <f t="shared" si="18"/>
        <v>5.541476600777151E-2</v>
      </c>
      <c r="O43" s="18">
        <f t="shared" si="18"/>
        <v>7.9558187930206525E-2</v>
      </c>
      <c r="P43" s="18">
        <f t="shared" si="18"/>
        <v>1.542111506524324E-2</v>
      </c>
      <c r="Q43" s="18">
        <f t="shared" si="18"/>
        <v>1.4748831775700966E-2</v>
      </c>
      <c r="R43" s="18">
        <f t="shared" si="18"/>
        <v>1.4390559792776036E-2</v>
      </c>
      <c r="S43" s="18">
        <f t="shared" si="18"/>
        <v>1.3902681231380276E-2</v>
      </c>
      <c r="T43" s="18">
        <f t="shared" si="18"/>
        <v>1.3432209318595234E-2</v>
      </c>
      <c r="U43" s="18">
        <f t="shared" si="18"/>
        <v>1.2839983432279434E-2</v>
      </c>
    </row>
    <row r="44" spans="1:27" x14ac:dyDescent="0.2">
      <c r="A44" s="1"/>
      <c r="B44" s="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7" ht="15" x14ac:dyDescent="0.25">
      <c r="A45" s="1" t="s">
        <v>9</v>
      </c>
      <c r="B45" s="1" t="s">
        <v>10</v>
      </c>
      <c r="C45"/>
      <c r="D45">
        <f>SUMIF(AR2008_PeakProj!$A$3:$A$14,BOT!$A$2,AR2008_PeakProj!B$3:B$14)</f>
        <v>563</v>
      </c>
      <c r="E45">
        <f>SUMIF(AR2008_PeakProj!$A$3:$A$14,BOT!$A$2,AR2008_PeakProj!C$3:C$14)</f>
        <v>675</v>
      </c>
      <c r="F45">
        <f>SUMIF(AR2008_PeakProj!$A$3:$A$14,BOT!$A$2,AR2008_PeakProj!D$3:D$14)</f>
        <v>737</v>
      </c>
      <c r="G45">
        <f>SUMIF(AR2008_PeakProj!$A$3:$A$14,BOT!$A$2,AR2008_PeakProj!E$3:E$14)</f>
        <v>795</v>
      </c>
      <c r="H45">
        <f>SUMIF(AR2008_PeakProj!$A$3:$A$14,BOT!$A$2,AR2008_PeakProj!F$3:F$14)</f>
        <v>817</v>
      </c>
      <c r="I45">
        <f>SUMIF(AR2008_PeakProj!$A$3:$A$14,BOT!$A$2,AR2008_PeakProj!G$3:G$14)</f>
        <v>864</v>
      </c>
      <c r="J45">
        <f>SUMIF(AR2008_PeakProj!$A$3:$A$14,BOT!$A$2,AR2008_PeakProj!H$3:H$14)</f>
        <v>904</v>
      </c>
      <c r="K45">
        <f>SUMIF(AR2008_PeakProj!$A$3:$A$14,BOT!$A$2,AR2008_PeakProj!I$3:I$14)</f>
        <v>928</v>
      </c>
      <c r="L45">
        <f>SUMIF(AR2008_PeakProj!$A$3:$A$14,BOT!$A$2,AR2008_PeakProj!J$3:J$14)</f>
        <v>951</v>
      </c>
      <c r="M45">
        <f>SUMIF(AR2008_PeakProj!$A$3:$A$14,BOT!$A$2,AR2008_PeakProj!K$3:K$14)</f>
        <v>1034</v>
      </c>
      <c r="N45">
        <f>SUMIF(AR2008_PeakProj!$A$3:$A$14,BOT!$A$2,AR2008_PeakProj!L$3:L$14)</f>
        <v>1089</v>
      </c>
      <c r="O45">
        <f>SUMIF(AR2008_PeakProj!$A$3:$A$14,BOT!$A$2,AR2008_PeakProj!M$3:M$14)</f>
        <v>1164</v>
      </c>
      <c r="P45">
        <f>SUMIF(AR2008_PeakProj!$A$3:$A$14,BOT!$A$2,AR2008_PeakProj!N$3:N$14)</f>
        <v>1183</v>
      </c>
      <c r="Q45">
        <f>SUMIF(AR2008_PeakProj!$A$3:$A$14,BOT!$A$2,AR2008_PeakProj!O$3:O$14)</f>
        <v>1202</v>
      </c>
      <c r="R45">
        <f>SUMIF(AR2008_PeakProj!$A$3:$A$14,BOT!$A$2,AR2008_PeakProj!P$3:P$14)</f>
        <v>1221</v>
      </c>
      <c r="S45">
        <f>SUMIF(AR2008_PeakProj!$A$3:$A$14,BOT!$A$2,AR2008_PeakProj!Q$3:Q$14)</f>
        <v>1238</v>
      </c>
      <c r="T45">
        <f>SUMIF(AR2008_PeakProj!$A$3:$A$14,BOT!$A$2,AR2008_PeakProj!R$3:R$14)</f>
        <v>1255</v>
      </c>
      <c r="U45">
        <f>SUMIF(AR2008_PeakProj!$A$3:$A$14,BOT!$A$2,AR2008_PeakProj!S$3:S$14)</f>
        <v>1272</v>
      </c>
    </row>
    <row r="46" spans="1:27" x14ac:dyDescent="0.2">
      <c r="A46" s="1" t="s">
        <v>11</v>
      </c>
      <c r="B46" s="1" t="s">
        <v>12</v>
      </c>
      <c r="E46" s="18">
        <f>E45/D45-1</f>
        <v>0.19893428063943164</v>
      </c>
      <c r="F46" s="18">
        <f t="shared" ref="F46:U46" si="19">F45/E45-1</f>
        <v>9.1851851851851851E-2</v>
      </c>
      <c r="G46" s="18">
        <f t="shared" si="19"/>
        <v>7.8697421981004156E-2</v>
      </c>
      <c r="H46" s="18">
        <f t="shared" si="19"/>
        <v>2.7672955974842761E-2</v>
      </c>
      <c r="I46" s="18">
        <f t="shared" si="19"/>
        <v>5.7527539779681724E-2</v>
      </c>
      <c r="J46" s="18">
        <f t="shared" si="19"/>
        <v>4.629629629629628E-2</v>
      </c>
      <c r="K46" s="18">
        <f t="shared" si="19"/>
        <v>2.6548672566371723E-2</v>
      </c>
      <c r="L46" s="18">
        <f t="shared" si="19"/>
        <v>2.4784482758620774E-2</v>
      </c>
      <c r="M46" s="18">
        <f t="shared" si="19"/>
        <v>8.7276550998948377E-2</v>
      </c>
      <c r="N46" s="18">
        <f t="shared" si="19"/>
        <v>5.3191489361702038E-2</v>
      </c>
      <c r="O46" s="18">
        <f t="shared" si="19"/>
        <v>6.887052341597788E-2</v>
      </c>
      <c r="P46" s="18">
        <f t="shared" si="19"/>
        <v>1.632302405498276E-2</v>
      </c>
      <c r="Q46" s="18">
        <f t="shared" si="19"/>
        <v>1.606086221470826E-2</v>
      </c>
      <c r="R46" s="18">
        <f t="shared" si="19"/>
        <v>1.580698835274541E-2</v>
      </c>
      <c r="S46" s="18">
        <f t="shared" si="19"/>
        <v>1.3923013923013983E-2</v>
      </c>
      <c r="T46" s="18">
        <f t="shared" si="19"/>
        <v>1.3731825525040486E-2</v>
      </c>
      <c r="U46" s="18">
        <f t="shared" si="19"/>
        <v>1.3545816733067761E-2</v>
      </c>
    </row>
    <row r="47" spans="1:27" ht="15" x14ac:dyDescent="0.25">
      <c r="A47" s="1" t="s">
        <v>39</v>
      </c>
      <c r="B47" s="1" t="s">
        <v>10</v>
      </c>
      <c r="C47">
        <f>SUMIF(PoolPlan_PeakProj!$A$25:$A$36,BOT!$A$2,PoolPlan_PeakProj!C$25:C$36)</f>
        <v>499</v>
      </c>
      <c r="D47">
        <f>SUMIF(PoolPlan_PeakProj!$A$25:$A$36,BOT!$A$2,PoolPlan_PeakProj!D$25:D$36)</f>
        <v>563</v>
      </c>
      <c r="E47">
        <f>SUMIF(PoolPlan_PeakProj!$A$25:$A$36,BOT!$A$2,PoolPlan_PeakProj!E$25:E$36)</f>
        <v>675</v>
      </c>
      <c r="F47">
        <f>SUMIF(PoolPlan_PeakProj!$A$25:$A$36,BOT!$A$2,PoolPlan_PeakProj!F$25:F$36)</f>
        <v>737</v>
      </c>
      <c r="G47">
        <f>SUMIF(PoolPlan_PeakProj!$A$25:$A$36,BOT!$A$2,PoolPlan_PeakProj!G$25:G$36)</f>
        <v>795</v>
      </c>
      <c r="H47">
        <f>SUMIF(PoolPlan_PeakProj!$A$25:$A$36,BOT!$A$2,PoolPlan_PeakProj!H$25:H$36)</f>
        <v>817</v>
      </c>
      <c r="I47">
        <f>SUMIF(PoolPlan_PeakProj!$A$25:$A$36,BOT!$A$2,PoolPlan_PeakProj!I$25:I$36)</f>
        <v>864</v>
      </c>
      <c r="J47">
        <f>SUMIF(PoolPlan_PeakProj!$A$25:$A$36,BOT!$A$2,PoolPlan_PeakProj!J$25:J$36)</f>
        <v>904</v>
      </c>
      <c r="K47">
        <f>SUMIF(PoolPlan_PeakProj!$A$25:$A$36,BOT!$A$2,PoolPlan_PeakProj!K$25:K$36)</f>
        <v>928</v>
      </c>
      <c r="L47">
        <f>SUMIF(PoolPlan_PeakProj!$A$25:$A$36,BOT!$A$2,PoolPlan_PeakProj!L$25:L$36)</f>
        <v>951</v>
      </c>
      <c r="M47">
        <f>SUMIF(PoolPlan_PeakProj!$A$25:$A$36,BOT!$A$2,PoolPlan_PeakProj!M$25:M$36)</f>
        <v>1034</v>
      </c>
      <c r="N47">
        <f>SUMIF(PoolPlan_PeakProj!$A$25:$A$36,BOT!$A$2,PoolPlan_PeakProj!N$25:N$36)</f>
        <v>1089</v>
      </c>
      <c r="O47">
        <f>SUMIF(PoolPlan_PeakProj!$A$25:$A$36,BOT!$A$2,PoolPlan_PeakProj!O$25:O$36)</f>
        <v>1164</v>
      </c>
      <c r="P47">
        <f>SUMIF(PoolPlan_PeakProj!$A$25:$A$36,BOT!$A$2,PoolPlan_PeakProj!P$25:P$36)</f>
        <v>1183</v>
      </c>
      <c r="Q47">
        <f>SUMIF(PoolPlan_PeakProj!$A$25:$A$36,BOT!$A$2,PoolPlan_PeakProj!Q$25:Q$36)</f>
        <v>1202</v>
      </c>
      <c r="R47">
        <f>SUMIF(PoolPlan_PeakProj!$A$25:$A$36,BOT!$A$2,PoolPlan_PeakProj!R$25:R$36)</f>
        <v>1221</v>
      </c>
      <c r="S47">
        <f>SUMIF(PoolPlan_PeakProj!$A$25:$A$36,BOT!$A$2,PoolPlan_PeakProj!S$25:S$36)</f>
        <v>1238</v>
      </c>
      <c r="T47">
        <f>SUMIF(PoolPlan_PeakProj!$A$25:$A$36,BOT!$A$2,PoolPlan_PeakProj!T$25:T$36)</f>
        <v>1255</v>
      </c>
      <c r="U47">
        <f>SUMIF(PoolPlan_PeakProj!$A$25:$A$36,BOT!$A$2,PoolPlan_PeakProj!U$25:U$36)</f>
        <v>1272</v>
      </c>
    </row>
    <row r="48" spans="1:27" x14ac:dyDescent="0.2">
      <c r="A48" s="1" t="s">
        <v>11</v>
      </c>
      <c r="B48" s="1"/>
      <c r="D48" s="18">
        <f>D47/C47-1</f>
        <v>0.12825651302605201</v>
      </c>
      <c r="E48" s="18">
        <f t="shared" ref="E48:U48" si="20">E47/D47-1</f>
        <v>0.19893428063943164</v>
      </c>
      <c r="F48" s="18">
        <f t="shared" si="20"/>
        <v>9.1851851851851851E-2</v>
      </c>
      <c r="G48" s="18">
        <f t="shared" si="20"/>
        <v>7.8697421981004156E-2</v>
      </c>
      <c r="H48" s="18">
        <f t="shared" si="20"/>
        <v>2.7672955974842761E-2</v>
      </c>
      <c r="I48" s="18">
        <f t="shared" si="20"/>
        <v>5.7527539779681724E-2</v>
      </c>
      <c r="J48" s="18">
        <f t="shared" si="20"/>
        <v>4.629629629629628E-2</v>
      </c>
      <c r="K48" s="18">
        <f t="shared" si="20"/>
        <v>2.6548672566371723E-2</v>
      </c>
      <c r="L48" s="18">
        <f t="shared" si="20"/>
        <v>2.4784482758620774E-2</v>
      </c>
      <c r="M48" s="18">
        <f t="shared" si="20"/>
        <v>8.7276550998948377E-2</v>
      </c>
      <c r="N48" s="18">
        <f t="shared" si="20"/>
        <v>5.3191489361702038E-2</v>
      </c>
      <c r="O48" s="18">
        <f t="shared" si="20"/>
        <v>6.887052341597788E-2</v>
      </c>
      <c r="P48" s="18">
        <f t="shared" si="20"/>
        <v>1.632302405498276E-2</v>
      </c>
      <c r="Q48" s="18">
        <f t="shared" si="20"/>
        <v>1.606086221470826E-2</v>
      </c>
      <c r="R48" s="18">
        <f t="shared" si="20"/>
        <v>1.580698835274541E-2</v>
      </c>
      <c r="S48" s="18">
        <f t="shared" si="20"/>
        <v>1.3923013923013983E-2</v>
      </c>
      <c r="T48" s="18">
        <f t="shared" si="20"/>
        <v>1.3731825525040486E-2</v>
      </c>
      <c r="U48" s="18">
        <f t="shared" si="20"/>
        <v>1.3545816733067761E-2</v>
      </c>
    </row>
    <row r="49" spans="1:20" x14ac:dyDescent="0.2">
      <c r="A49" s="1" t="s">
        <v>70</v>
      </c>
      <c r="B49" s="1" t="s">
        <v>12</v>
      </c>
      <c r="D49" s="18">
        <f t="shared" ref="D49:T49" si="21">D40/(D45*8.76)</f>
        <v>0</v>
      </c>
      <c r="E49" s="18">
        <f t="shared" si="21"/>
        <v>0</v>
      </c>
      <c r="F49" s="18">
        <f t="shared" si="21"/>
        <v>0</v>
      </c>
      <c r="G49" s="18">
        <f t="shared" si="21"/>
        <v>0</v>
      </c>
      <c r="H49" s="18">
        <f t="shared" si="21"/>
        <v>0</v>
      </c>
      <c r="I49" s="18">
        <f t="shared" si="21"/>
        <v>0</v>
      </c>
      <c r="J49" s="18">
        <f t="shared" si="21"/>
        <v>0</v>
      </c>
      <c r="K49" s="18">
        <f t="shared" si="21"/>
        <v>0</v>
      </c>
      <c r="L49" s="18">
        <f t="shared" si="21"/>
        <v>0</v>
      </c>
      <c r="M49" s="18">
        <f t="shared" si="21"/>
        <v>0</v>
      </c>
      <c r="N49" s="18">
        <f t="shared" si="21"/>
        <v>0</v>
      </c>
      <c r="O49" s="18">
        <f t="shared" si="21"/>
        <v>0</v>
      </c>
      <c r="P49" s="18">
        <f t="shared" si="21"/>
        <v>0</v>
      </c>
      <c r="Q49" s="18">
        <f t="shared" si="21"/>
        <v>0</v>
      </c>
      <c r="R49" s="18">
        <f t="shared" si="21"/>
        <v>0</v>
      </c>
      <c r="S49" s="18">
        <f t="shared" si="21"/>
        <v>0</v>
      </c>
      <c r="T49" s="18">
        <f t="shared" si="21"/>
        <v>0</v>
      </c>
    </row>
    <row r="50" spans="1:20" x14ac:dyDescent="0.2">
      <c r="A50" s="1" t="s">
        <v>41</v>
      </c>
      <c r="C50" s="18">
        <f t="shared" ref="C50:T50" si="22">C42/(C47*8.76)</f>
        <v>0.65130260521042083</v>
      </c>
      <c r="D50" s="18">
        <f t="shared" si="22"/>
        <v>0.64904255577994596</v>
      </c>
      <c r="E50" s="18">
        <f t="shared" si="22"/>
        <v>0.64907830204633854</v>
      </c>
      <c r="F50" s="18">
        <f t="shared" si="22"/>
        <v>0.65085531247870243</v>
      </c>
      <c r="G50" s="18">
        <f t="shared" si="22"/>
        <v>0.65262341690359271</v>
      </c>
      <c r="H50" s="18">
        <f t="shared" si="22"/>
        <v>0.65097835381700508</v>
      </c>
      <c r="I50" s="18">
        <f t="shared" si="22"/>
        <v>0.6520325976661594</v>
      </c>
      <c r="J50" s="18">
        <f t="shared" si="22"/>
        <v>0.6532357457469592</v>
      </c>
      <c r="K50" s="18">
        <f t="shared" si="22"/>
        <v>0.65171823334907886</v>
      </c>
      <c r="L50" s="18">
        <f t="shared" si="22"/>
        <v>0.64952057195261892</v>
      </c>
      <c r="M50" s="18">
        <f t="shared" si="22"/>
        <v>0.65346705174743647</v>
      </c>
      <c r="N50" s="18">
        <f t="shared" si="22"/>
        <v>0.65484651412422279</v>
      </c>
      <c r="O50" s="18">
        <f t="shared" si="22"/>
        <v>0.66139434166548983</v>
      </c>
      <c r="P50" s="18">
        <f t="shared" si="22"/>
        <v>0.66080740474839528</v>
      </c>
      <c r="Q50" s="18">
        <f t="shared" si="22"/>
        <v>0.65995410996892545</v>
      </c>
      <c r="R50" s="18">
        <f t="shared" si="22"/>
        <v>0.65903387821196047</v>
      </c>
      <c r="S50" s="18">
        <f t="shared" si="22"/>
        <v>0.65902066228487555</v>
      </c>
      <c r="T50" s="18">
        <f t="shared" si="22"/>
        <v>0.65882588367989237</v>
      </c>
    </row>
    <row r="51" spans="1:20" x14ac:dyDescent="0.2">
      <c r="A51" s="1" t="s">
        <v>114</v>
      </c>
      <c r="C51" s="18"/>
      <c r="D51" s="16">
        <f>D50/C50-1</f>
        <v>-3.4700451255598175E-3</v>
      </c>
      <c r="E51" s="16">
        <f t="shared" ref="E51:T51" si="23">E50/D50-1</f>
        <v>5.507538153581848E-5</v>
      </c>
      <c r="F51" s="16">
        <f t="shared" si="23"/>
        <v>2.737744316458457E-3</v>
      </c>
      <c r="G51" s="16">
        <f t="shared" si="23"/>
        <v>2.716585992294851E-3</v>
      </c>
      <c r="H51" s="16">
        <f t="shared" si="23"/>
        <v>-2.5206927057455086E-3</v>
      </c>
      <c r="I51" s="16">
        <f t="shared" si="23"/>
        <v>1.6194760439771638E-3</v>
      </c>
      <c r="J51" s="16">
        <f t="shared" si="23"/>
        <v>1.8452268875916999E-3</v>
      </c>
      <c r="K51" s="16">
        <f t="shared" si="23"/>
        <v>-2.3230700520607828E-3</v>
      </c>
      <c r="L51" s="16">
        <f t="shared" si="23"/>
        <v>-3.3721035932453569E-3</v>
      </c>
      <c r="M51" s="16">
        <f t="shared" si="23"/>
        <v>6.075988914336472E-3</v>
      </c>
      <c r="N51" s="16">
        <f t="shared" si="23"/>
        <v>2.1109899467730564E-3</v>
      </c>
      <c r="O51" s="16">
        <f t="shared" si="23"/>
        <v>9.9990263367653043E-3</v>
      </c>
      <c r="P51" s="16">
        <f t="shared" si="23"/>
        <v>-8.8742355372528614E-4</v>
      </c>
      <c r="Q51" s="16">
        <f t="shared" si="23"/>
        <v>-1.2912911891396206E-3</v>
      </c>
      <c r="R51" s="16">
        <f t="shared" si="23"/>
        <v>-1.394387493106608E-3</v>
      </c>
      <c r="S51" s="16">
        <f t="shared" si="23"/>
        <v>-2.0053486659565856E-5</v>
      </c>
      <c r="T51" s="16">
        <f t="shared" si="23"/>
        <v>-2.9555766022248964E-4</v>
      </c>
    </row>
    <row r="52" spans="1:20" ht="15" x14ac:dyDescent="0.25">
      <c r="A52" s="1" t="s">
        <v>84</v>
      </c>
      <c r="B52" s="1" t="s">
        <v>10</v>
      </c>
      <c r="C52" s="38">
        <f>VLOOKUP($A$2,AR2008_Stats!$B$4:$O$15,AR2008_Stats!E$1,FALSE)</f>
        <v>120</v>
      </c>
    </row>
    <row r="53" spans="1:20" ht="15" x14ac:dyDescent="0.25">
      <c r="A53" s="1" t="s">
        <v>83</v>
      </c>
      <c r="B53" s="1" t="s">
        <v>10</v>
      </c>
      <c r="C53" s="74">
        <f>VLOOKUP($A$2,'[1]Total Existing Capacity'!$A$3:$J$14,5,FALSE)</f>
        <v>120</v>
      </c>
    </row>
    <row r="55" spans="1:20" x14ac:dyDescent="0.2">
      <c r="A55" s="3" t="s">
        <v>71</v>
      </c>
    </row>
    <row r="56" spans="1:20" x14ac:dyDescent="0.2">
      <c r="A56" s="2" t="s">
        <v>72</v>
      </c>
    </row>
    <row r="57" spans="1:20" x14ac:dyDescent="0.2">
      <c r="A57" s="2" t="s">
        <v>73</v>
      </c>
    </row>
    <row r="59" spans="1:20" x14ac:dyDescent="0.2">
      <c r="A59" s="3" t="s">
        <v>80</v>
      </c>
    </row>
    <row r="60" spans="1:20" ht="15" x14ac:dyDescent="0.25">
      <c r="A60" t="s">
        <v>13</v>
      </c>
      <c r="B60" s="2" t="s">
        <v>97</v>
      </c>
    </row>
    <row r="61" spans="1:20" ht="15" x14ac:dyDescent="0.25">
      <c r="A61" t="s">
        <v>14</v>
      </c>
      <c r="B61" s="2" t="s">
        <v>98</v>
      </c>
    </row>
    <row r="62" spans="1:20" ht="15" x14ac:dyDescent="0.25">
      <c r="A62" t="s">
        <v>15</v>
      </c>
      <c r="B62" s="2" t="s">
        <v>32</v>
      </c>
    </row>
    <row r="63" spans="1:20" ht="15" x14ac:dyDescent="0.25">
      <c r="A63" t="s">
        <v>16</v>
      </c>
      <c r="B63" s="2" t="s">
        <v>99</v>
      </c>
    </row>
    <row r="64" spans="1:20" ht="15" x14ac:dyDescent="0.25">
      <c r="A64" t="s">
        <v>17</v>
      </c>
      <c r="B64" s="2" t="s">
        <v>100</v>
      </c>
    </row>
    <row r="65" spans="1:2" ht="15" x14ac:dyDescent="0.25">
      <c r="A65" t="s">
        <v>18</v>
      </c>
      <c r="B65" s="2" t="s">
        <v>101</v>
      </c>
    </row>
    <row r="66" spans="1:2" ht="15" x14ac:dyDescent="0.25">
      <c r="A66" t="s">
        <v>19</v>
      </c>
      <c r="B66" s="2" t="s">
        <v>102</v>
      </c>
    </row>
    <row r="67" spans="1:2" ht="15" x14ac:dyDescent="0.25">
      <c r="A67" t="s">
        <v>21</v>
      </c>
      <c r="B67" s="2" t="s">
        <v>103</v>
      </c>
    </row>
    <row r="68" spans="1:2" ht="15" x14ac:dyDescent="0.25">
      <c r="A68" t="s">
        <v>22</v>
      </c>
      <c r="B68" s="2" t="s">
        <v>104</v>
      </c>
    </row>
    <row r="69" spans="1:2" ht="15" x14ac:dyDescent="0.25">
      <c r="A69" t="s">
        <v>23</v>
      </c>
      <c r="B69" s="2" t="s">
        <v>105</v>
      </c>
    </row>
    <row r="70" spans="1:2" ht="15" x14ac:dyDescent="0.25">
      <c r="A70" t="s">
        <v>24</v>
      </c>
      <c r="B70" s="2" t="s">
        <v>106</v>
      </c>
    </row>
    <row r="71" spans="1:2" ht="15" x14ac:dyDescent="0.25">
      <c r="A71" t="s">
        <v>20</v>
      </c>
      <c r="B71" s="2" t="s">
        <v>107</v>
      </c>
    </row>
  </sheetData>
  <dataValidations count="4">
    <dataValidation type="list" allowBlank="1" showInputMessage="1" showErrorMessage="1" sqref="B18">
      <formula1>$B$60:$B$71</formula1>
    </dataValidation>
    <dataValidation type="list" allowBlank="1" showInputMessage="1" showErrorMessage="1" sqref="B13:B17">
      <formula1>$B$60:$B$72</formula1>
    </dataValidation>
    <dataValidation type="list" allowBlank="1" showInputMessage="1" showErrorMessage="1" sqref="B3">
      <formula1>$A$56:$A$57</formula1>
    </dataValidation>
    <dataValidation type="list" allowBlank="1" showInputMessage="1" showErrorMessage="1" sqref="A2">
      <formula1>$A$60:$A$71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U36"/>
  <sheetViews>
    <sheetView workbookViewId="0"/>
  </sheetViews>
  <sheetFormatPr defaultRowHeight="15" x14ac:dyDescent="0.25"/>
  <cols>
    <col min="1" max="1" width="17.28515625" customWidth="1"/>
    <col min="2" max="20" width="10.5703125" bestFit="1" customWidth="1"/>
    <col min="21" max="21" width="8.7109375" customWidth="1"/>
  </cols>
  <sheetData>
    <row r="1" spans="1:13" x14ac:dyDescent="0.25">
      <c r="A1" t="s">
        <v>26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</row>
    <row r="2" spans="1:13" x14ac:dyDescent="0.25">
      <c r="A2">
        <v>2006</v>
      </c>
      <c r="B2">
        <v>620</v>
      </c>
      <c r="C2">
        <v>456</v>
      </c>
      <c r="D2">
        <v>821</v>
      </c>
      <c r="E2">
        <v>115</v>
      </c>
      <c r="F2">
        <v>242</v>
      </c>
      <c r="G2">
        <v>440</v>
      </c>
      <c r="H2">
        <v>408</v>
      </c>
      <c r="I2" s="17">
        <v>33968</v>
      </c>
      <c r="J2">
        <v>188</v>
      </c>
      <c r="K2">
        <v>633</v>
      </c>
      <c r="L2" s="17">
        <v>1413</v>
      </c>
      <c r="M2" s="17">
        <v>2102</v>
      </c>
    </row>
    <row r="3" spans="1:13" x14ac:dyDescent="0.25">
      <c r="A3">
        <v>2007</v>
      </c>
      <c r="B3">
        <v>792</v>
      </c>
      <c r="C3">
        <v>499</v>
      </c>
      <c r="D3">
        <v>939</v>
      </c>
      <c r="E3">
        <v>125</v>
      </c>
      <c r="F3">
        <v>251</v>
      </c>
      <c r="G3">
        <v>488</v>
      </c>
      <c r="H3">
        <v>435</v>
      </c>
      <c r="I3" s="17">
        <v>35037</v>
      </c>
      <c r="J3">
        <v>194</v>
      </c>
      <c r="K3">
        <v>728</v>
      </c>
      <c r="L3" s="17">
        <v>1551</v>
      </c>
      <c r="M3" s="17">
        <v>2143</v>
      </c>
    </row>
    <row r="4" spans="1:13" x14ac:dyDescent="0.25">
      <c r="A4">
        <v>2008</v>
      </c>
      <c r="B4">
        <v>897</v>
      </c>
      <c r="C4">
        <v>563</v>
      </c>
      <c r="D4" s="17">
        <v>1075</v>
      </c>
      <c r="E4">
        <v>130</v>
      </c>
      <c r="F4">
        <v>268</v>
      </c>
      <c r="G4">
        <v>537</v>
      </c>
      <c r="H4">
        <v>474</v>
      </c>
      <c r="I4" s="17">
        <v>36720</v>
      </c>
      <c r="J4">
        <v>204</v>
      </c>
      <c r="K4">
        <v>772</v>
      </c>
      <c r="L4" s="17">
        <v>1643</v>
      </c>
      <c r="M4" s="17">
        <v>2186</v>
      </c>
    </row>
    <row r="5" spans="1:13" x14ac:dyDescent="0.25">
      <c r="A5">
        <v>2009</v>
      </c>
      <c r="B5" s="17">
        <v>1016</v>
      </c>
      <c r="C5">
        <v>675</v>
      </c>
      <c r="D5" s="17">
        <v>1229</v>
      </c>
      <c r="E5">
        <v>136</v>
      </c>
      <c r="F5">
        <v>287</v>
      </c>
      <c r="G5">
        <v>577</v>
      </c>
      <c r="H5">
        <v>482</v>
      </c>
      <c r="I5" s="17">
        <v>38788</v>
      </c>
      <c r="J5">
        <v>213</v>
      </c>
      <c r="K5">
        <v>810</v>
      </c>
      <c r="L5" s="17">
        <v>1743</v>
      </c>
      <c r="M5" s="17">
        <v>2230</v>
      </c>
    </row>
    <row r="6" spans="1:13" x14ac:dyDescent="0.25">
      <c r="A6">
        <v>2010</v>
      </c>
      <c r="B6" s="17">
        <v>1114</v>
      </c>
      <c r="C6">
        <v>737</v>
      </c>
      <c r="D6" s="17">
        <v>1525</v>
      </c>
      <c r="E6">
        <v>142</v>
      </c>
      <c r="F6">
        <v>306</v>
      </c>
      <c r="G6">
        <v>619</v>
      </c>
      <c r="H6">
        <v>490</v>
      </c>
      <c r="I6" s="17">
        <v>39825</v>
      </c>
      <c r="J6">
        <v>223</v>
      </c>
      <c r="K6">
        <v>844</v>
      </c>
      <c r="L6" s="17">
        <v>1773</v>
      </c>
      <c r="M6" s="17">
        <v>2281</v>
      </c>
    </row>
    <row r="7" spans="1:13" x14ac:dyDescent="0.25">
      <c r="A7">
        <v>2011</v>
      </c>
      <c r="B7" s="17">
        <v>1217</v>
      </c>
      <c r="C7">
        <v>795</v>
      </c>
      <c r="D7" s="17">
        <v>1588</v>
      </c>
      <c r="E7">
        <v>148</v>
      </c>
      <c r="F7">
        <v>376</v>
      </c>
      <c r="G7">
        <v>651</v>
      </c>
      <c r="H7">
        <v>498</v>
      </c>
      <c r="I7" s="17">
        <v>41475</v>
      </c>
      <c r="J7">
        <v>233</v>
      </c>
      <c r="K7">
        <v>879</v>
      </c>
      <c r="L7" s="17">
        <v>1860</v>
      </c>
      <c r="M7" s="17">
        <v>2345</v>
      </c>
    </row>
    <row r="8" spans="1:13" x14ac:dyDescent="0.25">
      <c r="A8">
        <v>2012</v>
      </c>
      <c r="B8" s="17">
        <v>1320</v>
      </c>
      <c r="C8">
        <v>817</v>
      </c>
      <c r="D8" s="17">
        <v>1655</v>
      </c>
      <c r="E8">
        <v>152</v>
      </c>
      <c r="F8">
        <v>394</v>
      </c>
      <c r="G8">
        <v>690</v>
      </c>
      <c r="H8">
        <v>509</v>
      </c>
      <c r="I8" s="17">
        <v>42923</v>
      </c>
      <c r="J8">
        <v>245</v>
      </c>
      <c r="K8">
        <v>916</v>
      </c>
      <c r="L8" s="17">
        <v>1894</v>
      </c>
      <c r="M8" s="17">
        <v>2414</v>
      </c>
    </row>
    <row r="9" spans="1:13" x14ac:dyDescent="0.25">
      <c r="A9">
        <v>2013</v>
      </c>
      <c r="B9" s="17">
        <v>1426</v>
      </c>
      <c r="C9">
        <v>864</v>
      </c>
      <c r="D9" s="17">
        <v>1723</v>
      </c>
      <c r="E9">
        <v>156</v>
      </c>
      <c r="F9">
        <v>412</v>
      </c>
      <c r="G9">
        <v>722</v>
      </c>
      <c r="H9">
        <v>520</v>
      </c>
      <c r="I9" s="17">
        <v>44005</v>
      </c>
      <c r="J9">
        <v>255</v>
      </c>
      <c r="K9">
        <v>955</v>
      </c>
      <c r="L9" s="17">
        <v>1919</v>
      </c>
      <c r="M9" s="17">
        <v>2484</v>
      </c>
    </row>
    <row r="10" spans="1:13" x14ac:dyDescent="0.25">
      <c r="A10">
        <v>2014</v>
      </c>
      <c r="B10" s="17">
        <v>1540</v>
      </c>
      <c r="C10">
        <v>904</v>
      </c>
      <c r="D10" s="17">
        <v>1795</v>
      </c>
      <c r="E10">
        <v>160</v>
      </c>
      <c r="F10">
        <v>430</v>
      </c>
      <c r="G10">
        <v>757</v>
      </c>
      <c r="H10">
        <v>533</v>
      </c>
      <c r="I10" s="17">
        <v>44998</v>
      </c>
      <c r="J10">
        <v>264</v>
      </c>
      <c r="K10">
        <v>995</v>
      </c>
      <c r="L10" s="17">
        <v>1944</v>
      </c>
      <c r="M10" s="17">
        <v>2558</v>
      </c>
    </row>
    <row r="11" spans="1:13" x14ac:dyDescent="0.25">
      <c r="A11">
        <v>2015</v>
      </c>
      <c r="B11" s="17">
        <v>1657</v>
      </c>
      <c r="C11">
        <v>928</v>
      </c>
      <c r="D11" s="17">
        <v>1865</v>
      </c>
      <c r="E11">
        <v>165</v>
      </c>
      <c r="F11">
        <v>448</v>
      </c>
      <c r="G11">
        <v>793</v>
      </c>
      <c r="H11">
        <v>549</v>
      </c>
      <c r="I11" s="17">
        <v>45952</v>
      </c>
      <c r="J11">
        <v>271</v>
      </c>
      <c r="K11" s="17">
        <v>1037</v>
      </c>
      <c r="L11" s="17">
        <v>1970</v>
      </c>
      <c r="M11" s="17">
        <v>2643</v>
      </c>
    </row>
    <row r="12" spans="1:13" x14ac:dyDescent="0.25">
      <c r="A12">
        <v>2016</v>
      </c>
      <c r="B12" s="17">
        <v>1762</v>
      </c>
      <c r="C12">
        <v>951</v>
      </c>
      <c r="D12" s="17">
        <v>1935</v>
      </c>
      <c r="E12">
        <v>169</v>
      </c>
      <c r="F12">
        <v>467</v>
      </c>
      <c r="G12">
        <v>821</v>
      </c>
      <c r="H12">
        <v>565</v>
      </c>
      <c r="I12" s="17">
        <v>46878</v>
      </c>
      <c r="J12">
        <v>278</v>
      </c>
      <c r="K12" s="17">
        <v>1081</v>
      </c>
      <c r="L12" s="17">
        <v>2015</v>
      </c>
      <c r="M12" s="17">
        <v>2731</v>
      </c>
    </row>
    <row r="13" spans="1:13" x14ac:dyDescent="0.25">
      <c r="A13">
        <v>2017</v>
      </c>
      <c r="B13" s="17">
        <v>1872</v>
      </c>
      <c r="C13" s="17">
        <v>1034</v>
      </c>
      <c r="D13" s="17">
        <v>2016</v>
      </c>
      <c r="E13">
        <v>174</v>
      </c>
      <c r="F13">
        <v>485</v>
      </c>
      <c r="G13">
        <v>857</v>
      </c>
      <c r="H13">
        <v>585</v>
      </c>
      <c r="I13" s="17">
        <v>47713</v>
      </c>
      <c r="J13">
        <v>287</v>
      </c>
      <c r="K13" s="17">
        <v>1126</v>
      </c>
      <c r="L13" s="17">
        <v>2061</v>
      </c>
      <c r="M13" s="17">
        <v>2822</v>
      </c>
    </row>
    <row r="14" spans="1:13" x14ac:dyDescent="0.25">
      <c r="A14">
        <v>2018</v>
      </c>
      <c r="B14" s="17">
        <v>1987</v>
      </c>
      <c r="C14" s="17">
        <v>1089</v>
      </c>
      <c r="D14" s="17">
        <v>2100</v>
      </c>
      <c r="E14">
        <v>178</v>
      </c>
      <c r="F14">
        <v>503</v>
      </c>
      <c r="G14">
        <v>894</v>
      </c>
      <c r="H14">
        <v>604</v>
      </c>
      <c r="I14" s="17">
        <v>48593</v>
      </c>
      <c r="J14">
        <v>293</v>
      </c>
      <c r="K14" s="17">
        <v>1174</v>
      </c>
      <c r="L14" s="17">
        <v>2102</v>
      </c>
      <c r="M14" s="17">
        <v>2917</v>
      </c>
    </row>
    <row r="15" spans="1:13" x14ac:dyDescent="0.25">
      <c r="A15">
        <v>2019</v>
      </c>
      <c r="B15" s="17">
        <v>2109</v>
      </c>
      <c r="C15" s="17">
        <v>1164</v>
      </c>
      <c r="D15" s="17">
        <v>2187</v>
      </c>
      <c r="E15">
        <v>183</v>
      </c>
      <c r="F15">
        <v>522</v>
      </c>
      <c r="G15">
        <v>933</v>
      </c>
      <c r="H15">
        <v>624</v>
      </c>
      <c r="I15" s="17">
        <v>49398</v>
      </c>
      <c r="J15">
        <v>300</v>
      </c>
      <c r="K15" s="17">
        <v>1223</v>
      </c>
      <c r="L15" s="17">
        <v>2143</v>
      </c>
      <c r="M15" s="17">
        <v>3014</v>
      </c>
    </row>
    <row r="16" spans="1:13" x14ac:dyDescent="0.25">
      <c r="A16">
        <v>2020</v>
      </c>
      <c r="B16" s="17">
        <v>2226</v>
      </c>
      <c r="C16" s="17">
        <v>1183</v>
      </c>
      <c r="D16" s="17">
        <v>2229</v>
      </c>
      <c r="E16">
        <v>188</v>
      </c>
      <c r="F16">
        <v>541</v>
      </c>
      <c r="G16">
        <v>974</v>
      </c>
      <c r="H16">
        <v>645</v>
      </c>
      <c r="I16" s="17">
        <v>50316</v>
      </c>
      <c r="J16">
        <v>304</v>
      </c>
      <c r="K16" s="17">
        <v>1275</v>
      </c>
      <c r="L16" s="17">
        <v>2171</v>
      </c>
      <c r="M16" s="17">
        <v>3115</v>
      </c>
    </row>
    <row r="17" spans="1:21" x14ac:dyDescent="0.25">
      <c r="A17">
        <v>2021</v>
      </c>
      <c r="B17" s="17">
        <v>2347</v>
      </c>
      <c r="C17" s="17">
        <v>1202</v>
      </c>
      <c r="D17" s="17">
        <v>2313</v>
      </c>
      <c r="E17">
        <v>193</v>
      </c>
      <c r="F17">
        <v>560</v>
      </c>
      <c r="G17" s="17">
        <v>1017</v>
      </c>
      <c r="H17">
        <v>666</v>
      </c>
      <c r="I17" s="17">
        <v>51166</v>
      </c>
      <c r="J17">
        <v>308</v>
      </c>
      <c r="K17" s="17">
        <v>1328</v>
      </c>
      <c r="L17" s="17">
        <v>2228</v>
      </c>
      <c r="M17" s="17">
        <v>3220</v>
      </c>
    </row>
    <row r="18" spans="1:21" x14ac:dyDescent="0.25">
      <c r="A18">
        <v>2022</v>
      </c>
      <c r="B18" s="17">
        <v>2472</v>
      </c>
      <c r="C18" s="17">
        <v>1221</v>
      </c>
      <c r="D18" s="17">
        <v>2409</v>
      </c>
      <c r="E18">
        <v>198</v>
      </c>
      <c r="F18">
        <v>577</v>
      </c>
      <c r="G18" s="17">
        <v>1061</v>
      </c>
      <c r="H18">
        <v>688</v>
      </c>
      <c r="I18" s="17">
        <v>51797</v>
      </c>
      <c r="J18">
        <v>311</v>
      </c>
      <c r="K18" s="17">
        <v>1384</v>
      </c>
      <c r="L18" s="17">
        <v>2272</v>
      </c>
      <c r="M18" s="17">
        <v>3327</v>
      </c>
    </row>
    <row r="19" spans="1:21" x14ac:dyDescent="0.25">
      <c r="A19">
        <v>2023</v>
      </c>
      <c r="B19" s="17">
        <v>2601</v>
      </c>
      <c r="C19" s="17">
        <v>1238</v>
      </c>
      <c r="D19" s="17">
        <v>2509</v>
      </c>
      <c r="E19">
        <v>204</v>
      </c>
      <c r="F19">
        <v>594</v>
      </c>
      <c r="G19" s="17">
        <v>1108</v>
      </c>
      <c r="H19">
        <v>711</v>
      </c>
      <c r="I19" s="17">
        <v>52425</v>
      </c>
      <c r="J19">
        <v>315</v>
      </c>
      <c r="K19" s="17">
        <v>1442</v>
      </c>
      <c r="L19" s="17">
        <v>2302</v>
      </c>
      <c r="M19" s="17">
        <v>3439</v>
      </c>
    </row>
    <row r="20" spans="1:21" x14ac:dyDescent="0.25">
      <c r="A20">
        <v>2024</v>
      </c>
      <c r="B20" s="17">
        <v>2734</v>
      </c>
      <c r="C20" s="17">
        <v>1255</v>
      </c>
      <c r="D20" s="17">
        <v>2614</v>
      </c>
      <c r="E20">
        <v>209</v>
      </c>
      <c r="F20">
        <v>611</v>
      </c>
      <c r="G20" s="17">
        <v>1157</v>
      </c>
      <c r="H20">
        <v>734</v>
      </c>
      <c r="I20" s="17">
        <v>53336</v>
      </c>
      <c r="J20">
        <v>319</v>
      </c>
      <c r="K20" s="17">
        <v>1503</v>
      </c>
      <c r="L20" s="17">
        <v>2361</v>
      </c>
      <c r="M20" s="17">
        <v>3554</v>
      </c>
    </row>
    <row r="21" spans="1:21" x14ac:dyDescent="0.25">
      <c r="A21">
        <v>2025</v>
      </c>
      <c r="B21" s="17">
        <v>2871</v>
      </c>
      <c r="C21" s="17">
        <v>1272</v>
      </c>
      <c r="D21" s="17">
        <v>2723</v>
      </c>
      <c r="E21">
        <v>215</v>
      </c>
      <c r="F21">
        <v>629</v>
      </c>
      <c r="G21" s="17">
        <v>1208</v>
      </c>
      <c r="H21">
        <v>758</v>
      </c>
      <c r="I21" s="17">
        <v>53878</v>
      </c>
      <c r="J21">
        <v>323</v>
      </c>
      <c r="K21" s="17">
        <v>1566</v>
      </c>
      <c r="L21" s="17">
        <v>2407</v>
      </c>
      <c r="M21" s="17">
        <v>3674</v>
      </c>
    </row>
    <row r="24" spans="1:21" x14ac:dyDescent="0.25">
      <c r="A24" s="23" t="s">
        <v>26</v>
      </c>
      <c r="B24" s="23">
        <v>2006</v>
      </c>
      <c r="C24" s="23">
        <v>2007</v>
      </c>
      <c r="D24" s="23">
        <v>2008</v>
      </c>
      <c r="E24" s="23">
        <v>2009</v>
      </c>
      <c r="F24" s="23">
        <v>2010</v>
      </c>
      <c r="G24" s="23">
        <v>2011</v>
      </c>
      <c r="H24" s="23">
        <v>2012</v>
      </c>
      <c r="I24" s="23">
        <v>2013</v>
      </c>
      <c r="J24" s="23">
        <v>2014</v>
      </c>
      <c r="K24" s="23">
        <v>2015</v>
      </c>
      <c r="L24" s="23">
        <v>2016</v>
      </c>
      <c r="M24" s="23">
        <v>2017</v>
      </c>
      <c r="N24" s="23">
        <v>2018</v>
      </c>
      <c r="O24" s="23">
        <v>2019</v>
      </c>
      <c r="P24" s="23">
        <v>2020</v>
      </c>
      <c r="Q24" s="23">
        <v>2021</v>
      </c>
      <c r="R24" s="23">
        <v>2022</v>
      </c>
      <c r="S24" s="23">
        <v>2023</v>
      </c>
      <c r="T24" s="23">
        <v>2024</v>
      </c>
      <c r="U24" s="23">
        <v>2025</v>
      </c>
    </row>
    <row r="25" spans="1:21" x14ac:dyDescent="0.25">
      <c r="A25" s="23" t="s">
        <v>13</v>
      </c>
      <c r="B25" s="23">
        <v>620</v>
      </c>
      <c r="C25" s="23">
        <v>792</v>
      </c>
      <c r="D25" s="23">
        <v>897</v>
      </c>
      <c r="E25" s="23">
        <v>1016</v>
      </c>
      <c r="F25" s="23">
        <v>1114</v>
      </c>
      <c r="G25" s="23">
        <v>1217</v>
      </c>
      <c r="H25" s="23">
        <v>1320</v>
      </c>
      <c r="I25" s="23">
        <v>1426</v>
      </c>
      <c r="J25" s="23">
        <v>1540</v>
      </c>
      <c r="K25" s="23">
        <v>1657</v>
      </c>
      <c r="L25" s="23">
        <v>1762</v>
      </c>
      <c r="M25" s="23">
        <v>1872</v>
      </c>
      <c r="N25" s="23">
        <v>1987</v>
      </c>
      <c r="O25" s="23">
        <v>2109</v>
      </c>
      <c r="P25" s="23">
        <v>2226</v>
      </c>
      <c r="Q25" s="23">
        <v>2347</v>
      </c>
      <c r="R25" s="23">
        <v>2472</v>
      </c>
      <c r="S25" s="23">
        <v>2601</v>
      </c>
      <c r="T25" s="23">
        <v>2734</v>
      </c>
      <c r="U25" s="23">
        <v>2871</v>
      </c>
    </row>
    <row r="26" spans="1:21" x14ac:dyDescent="0.25">
      <c r="A26" s="23" t="s">
        <v>14</v>
      </c>
      <c r="B26" s="23">
        <v>456</v>
      </c>
      <c r="C26" s="23">
        <v>499</v>
      </c>
      <c r="D26" s="23">
        <v>563</v>
      </c>
      <c r="E26" s="23">
        <v>675</v>
      </c>
      <c r="F26" s="23">
        <v>737</v>
      </c>
      <c r="G26" s="23">
        <v>795</v>
      </c>
      <c r="H26" s="23">
        <v>817</v>
      </c>
      <c r="I26" s="23">
        <v>864</v>
      </c>
      <c r="J26" s="23">
        <v>904</v>
      </c>
      <c r="K26" s="23">
        <v>928</v>
      </c>
      <c r="L26" s="23">
        <v>951</v>
      </c>
      <c r="M26" s="23">
        <v>1034</v>
      </c>
      <c r="N26" s="23">
        <v>1089</v>
      </c>
      <c r="O26" s="23">
        <v>1164</v>
      </c>
      <c r="P26" s="23">
        <v>1183</v>
      </c>
      <c r="Q26" s="23">
        <v>1202</v>
      </c>
      <c r="R26" s="23">
        <v>1221</v>
      </c>
      <c r="S26" s="23">
        <v>1238</v>
      </c>
      <c r="T26" s="23">
        <v>1255</v>
      </c>
      <c r="U26" s="23">
        <v>1272</v>
      </c>
    </row>
    <row r="27" spans="1:21" x14ac:dyDescent="0.25">
      <c r="A27" s="23" t="s">
        <v>15</v>
      </c>
      <c r="B27" s="23">
        <v>821</v>
      </c>
      <c r="C27" s="23">
        <v>939</v>
      </c>
      <c r="D27" s="23">
        <v>1075</v>
      </c>
      <c r="E27" s="23">
        <v>1229</v>
      </c>
      <c r="F27" s="23">
        <v>1525</v>
      </c>
      <c r="G27" s="23">
        <v>1588</v>
      </c>
      <c r="H27" s="23">
        <v>1655</v>
      </c>
      <c r="I27" s="23">
        <v>1723</v>
      </c>
      <c r="J27" s="23">
        <v>1795</v>
      </c>
      <c r="K27" s="23">
        <v>1865</v>
      </c>
      <c r="L27" s="23">
        <v>1935</v>
      </c>
      <c r="M27" s="23">
        <v>2016</v>
      </c>
      <c r="N27" s="23">
        <v>2100</v>
      </c>
      <c r="O27" s="23">
        <v>2187</v>
      </c>
      <c r="P27" s="23">
        <v>2229</v>
      </c>
      <c r="Q27" s="23">
        <v>2313</v>
      </c>
      <c r="R27" s="23">
        <v>2409</v>
      </c>
      <c r="S27" s="23">
        <v>2509</v>
      </c>
      <c r="T27" s="23">
        <v>2614</v>
      </c>
      <c r="U27" s="23">
        <v>2723</v>
      </c>
    </row>
    <row r="28" spans="1:21" x14ac:dyDescent="0.25">
      <c r="A28" s="23" t="s">
        <v>16</v>
      </c>
      <c r="B28" s="23">
        <v>115</v>
      </c>
      <c r="C28" s="23">
        <v>125</v>
      </c>
      <c r="D28" s="23">
        <v>130</v>
      </c>
      <c r="E28" s="23">
        <v>136</v>
      </c>
      <c r="F28" s="23">
        <v>142</v>
      </c>
      <c r="G28" s="23">
        <v>148</v>
      </c>
      <c r="H28" s="23">
        <v>152</v>
      </c>
      <c r="I28" s="23">
        <v>156</v>
      </c>
      <c r="J28" s="23">
        <v>160</v>
      </c>
      <c r="K28" s="23">
        <v>165</v>
      </c>
      <c r="L28" s="23">
        <v>169</v>
      </c>
      <c r="M28" s="23">
        <v>174</v>
      </c>
      <c r="N28" s="23">
        <v>178</v>
      </c>
      <c r="O28" s="23">
        <v>183</v>
      </c>
      <c r="P28" s="23">
        <v>188</v>
      </c>
      <c r="Q28" s="23">
        <v>193</v>
      </c>
      <c r="R28" s="23">
        <v>198</v>
      </c>
      <c r="S28" s="23">
        <v>204</v>
      </c>
      <c r="T28" s="23">
        <v>209</v>
      </c>
      <c r="U28" s="23">
        <v>215</v>
      </c>
    </row>
    <row r="29" spans="1:21" x14ac:dyDescent="0.25">
      <c r="A29" s="23" t="s">
        <v>17</v>
      </c>
      <c r="B29" s="23">
        <v>242</v>
      </c>
      <c r="C29" s="23">
        <v>251</v>
      </c>
      <c r="D29" s="23">
        <v>268</v>
      </c>
      <c r="E29" s="23">
        <v>287</v>
      </c>
      <c r="F29" s="23">
        <v>306</v>
      </c>
      <c r="G29" s="23">
        <v>376</v>
      </c>
      <c r="H29" s="23">
        <v>394</v>
      </c>
      <c r="I29" s="23">
        <v>412</v>
      </c>
      <c r="J29" s="23">
        <v>430</v>
      </c>
      <c r="K29" s="23">
        <v>448</v>
      </c>
      <c r="L29" s="23">
        <v>467</v>
      </c>
      <c r="M29" s="23">
        <v>485</v>
      </c>
      <c r="N29" s="23">
        <v>503</v>
      </c>
      <c r="O29" s="23">
        <v>522</v>
      </c>
      <c r="P29" s="23">
        <v>541</v>
      </c>
      <c r="Q29" s="23">
        <v>560</v>
      </c>
      <c r="R29" s="23">
        <v>577</v>
      </c>
      <c r="S29" s="23">
        <v>594</v>
      </c>
      <c r="T29" s="23">
        <v>611</v>
      </c>
      <c r="U29" s="23">
        <v>629</v>
      </c>
    </row>
    <row r="30" spans="1:21" x14ac:dyDescent="0.25">
      <c r="A30" s="23" t="s">
        <v>18</v>
      </c>
      <c r="B30" s="23">
        <v>440</v>
      </c>
      <c r="C30" s="23">
        <v>488</v>
      </c>
      <c r="D30" s="23">
        <v>537</v>
      </c>
      <c r="E30" s="23">
        <v>577</v>
      </c>
      <c r="F30" s="23">
        <v>619</v>
      </c>
      <c r="G30" s="23">
        <v>651</v>
      </c>
      <c r="H30" s="23">
        <v>690</v>
      </c>
      <c r="I30" s="23">
        <v>722</v>
      </c>
      <c r="J30" s="23">
        <v>757</v>
      </c>
      <c r="K30" s="23">
        <v>793</v>
      </c>
      <c r="L30" s="23">
        <v>821</v>
      </c>
      <c r="M30" s="23">
        <v>857</v>
      </c>
      <c r="N30" s="23">
        <v>894</v>
      </c>
      <c r="O30" s="23">
        <v>933</v>
      </c>
      <c r="P30" s="23">
        <v>974</v>
      </c>
      <c r="Q30" s="23">
        <v>1017</v>
      </c>
      <c r="R30" s="23">
        <v>1061</v>
      </c>
      <c r="S30" s="23">
        <v>1108</v>
      </c>
      <c r="T30" s="23">
        <v>1157</v>
      </c>
      <c r="U30" s="23">
        <v>1208</v>
      </c>
    </row>
    <row r="31" spans="1:21" x14ac:dyDescent="0.25">
      <c r="A31" s="23" t="s">
        <v>19</v>
      </c>
      <c r="B31" s="23">
        <v>408</v>
      </c>
      <c r="C31" s="23">
        <v>435</v>
      </c>
      <c r="D31" s="23">
        <v>474</v>
      </c>
      <c r="E31" s="23">
        <v>482</v>
      </c>
      <c r="F31" s="23">
        <v>490</v>
      </c>
      <c r="G31" s="23">
        <v>498</v>
      </c>
      <c r="H31" s="23">
        <v>509</v>
      </c>
      <c r="I31" s="23">
        <v>520</v>
      </c>
      <c r="J31" s="23">
        <v>533</v>
      </c>
      <c r="K31" s="23">
        <v>549</v>
      </c>
      <c r="L31" s="23">
        <v>565</v>
      </c>
      <c r="M31" s="23">
        <v>585</v>
      </c>
      <c r="N31" s="23">
        <v>604</v>
      </c>
      <c r="O31" s="23">
        <v>624</v>
      </c>
      <c r="P31" s="23">
        <v>645</v>
      </c>
      <c r="Q31" s="23">
        <v>666</v>
      </c>
      <c r="R31" s="23">
        <v>688</v>
      </c>
      <c r="S31" s="23">
        <v>711</v>
      </c>
      <c r="T31" s="23">
        <v>734</v>
      </c>
      <c r="U31" s="23">
        <v>758</v>
      </c>
    </row>
    <row r="32" spans="1:21" x14ac:dyDescent="0.25">
      <c r="A32" s="23" t="s">
        <v>20</v>
      </c>
      <c r="B32" s="23">
        <v>33968</v>
      </c>
      <c r="C32" s="23">
        <v>35037</v>
      </c>
      <c r="D32" s="23">
        <v>36720</v>
      </c>
      <c r="E32" s="23">
        <v>38788</v>
      </c>
      <c r="F32" s="23">
        <v>39825</v>
      </c>
      <c r="G32" s="23">
        <v>41475</v>
      </c>
      <c r="H32" s="23">
        <v>42923</v>
      </c>
      <c r="I32" s="23">
        <v>44005</v>
      </c>
      <c r="J32" s="23">
        <v>44998</v>
      </c>
      <c r="K32" s="23">
        <v>45952</v>
      </c>
      <c r="L32" s="23">
        <v>46878</v>
      </c>
      <c r="M32" s="23">
        <v>47713</v>
      </c>
      <c r="N32" s="23">
        <v>48593</v>
      </c>
      <c r="O32" s="23">
        <v>49398</v>
      </c>
      <c r="P32" s="23">
        <v>50316</v>
      </c>
      <c r="Q32" s="23">
        <v>51166</v>
      </c>
      <c r="R32" s="23">
        <v>51797</v>
      </c>
      <c r="S32" s="23">
        <v>52425</v>
      </c>
      <c r="T32" s="23">
        <v>53336</v>
      </c>
      <c r="U32" s="23">
        <v>53878</v>
      </c>
    </row>
    <row r="33" spans="1:21" x14ac:dyDescent="0.25">
      <c r="A33" s="23" t="s">
        <v>21</v>
      </c>
      <c r="B33" s="23">
        <v>188</v>
      </c>
      <c r="C33" s="23">
        <v>194</v>
      </c>
      <c r="D33" s="23">
        <v>204</v>
      </c>
      <c r="E33" s="23">
        <v>213</v>
      </c>
      <c r="F33" s="23">
        <v>223</v>
      </c>
      <c r="G33" s="23">
        <v>233</v>
      </c>
      <c r="H33" s="23">
        <v>245</v>
      </c>
      <c r="I33" s="23">
        <v>255</v>
      </c>
      <c r="J33" s="23">
        <v>264</v>
      </c>
      <c r="K33" s="23">
        <v>271</v>
      </c>
      <c r="L33" s="23">
        <v>278</v>
      </c>
      <c r="M33" s="23">
        <v>287</v>
      </c>
      <c r="N33" s="23">
        <v>293</v>
      </c>
      <c r="O33" s="23">
        <v>300</v>
      </c>
      <c r="P33" s="23">
        <v>304</v>
      </c>
      <c r="Q33" s="23">
        <v>308</v>
      </c>
      <c r="R33" s="23">
        <v>311</v>
      </c>
      <c r="S33" s="23">
        <v>315</v>
      </c>
      <c r="T33" s="23">
        <v>319</v>
      </c>
      <c r="U33" s="23">
        <v>323</v>
      </c>
    </row>
    <row r="34" spans="1:21" x14ac:dyDescent="0.25">
      <c r="A34" s="23" t="s">
        <v>22</v>
      </c>
      <c r="B34" s="23">
        <v>633</v>
      </c>
      <c r="C34" s="23">
        <v>728</v>
      </c>
      <c r="D34" s="23">
        <v>772</v>
      </c>
      <c r="E34" s="23">
        <v>810</v>
      </c>
      <c r="F34" s="23">
        <v>844</v>
      </c>
      <c r="G34" s="23">
        <v>879</v>
      </c>
      <c r="H34" s="23">
        <v>916</v>
      </c>
      <c r="I34" s="23">
        <v>955</v>
      </c>
      <c r="J34" s="23">
        <v>995</v>
      </c>
      <c r="K34" s="23">
        <v>1037</v>
      </c>
      <c r="L34" s="23">
        <v>1081</v>
      </c>
      <c r="M34" s="23">
        <v>1126</v>
      </c>
      <c r="N34" s="23">
        <v>1174</v>
      </c>
      <c r="O34" s="23">
        <v>1223</v>
      </c>
      <c r="P34" s="23">
        <v>1275</v>
      </c>
      <c r="Q34" s="23">
        <v>1328</v>
      </c>
      <c r="R34" s="23">
        <v>1384</v>
      </c>
      <c r="S34" s="23">
        <v>1442</v>
      </c>
      <c r="T34" s="23">
        <v>1503</v>
      </c>
      <c r="U34" s="23">
        <v>1566</v>
      </c>
    </row>
    <row r="35" spans="1:21" x14ac:dyDescent="0.25">
      <c r="A35" s="23" t="s">
        <v>23</v>
      </c>
      <c r="B35" s="23">
        <v>1413</v>
      </c>
      <c r="C35" s="23">
        <v>1551</v>
      </c>
      <c r="D35" s="23">
        <v>1643</v>
      </c>
      <c r="E35" s="23">
        <v>1743</v>
      </c>
      <c r="F35" s="23">
        <v>1773</v>
      </c>
      <c r="G35" s="23">
        <v>1860</v>
      </c>
      <c r="H35" s="23">
        <v>1894</v>
      </c>
      <c r="I35" s="23">
        <v>1919</v>
      </c>
      <c r="J35" s="23">
        <v>1944</v>
      </c>
      <c r="K35" s="23">
        <v>1970</v>
      </c>
      <c r="L35" s="23">
        <v>2015</v>
      </c>
      <c r="M35" s="23">
        <v>2061</v>
      </c>
      <c r="N35" s="23">
        <v>2102</v>
      </c>
      <c r="O35" s="23">
        <v>2143</v>
      </c>
      <c r="P35" s="23">
        <v>2171</v>
      </c>
      <c r="Q35" s="23">
        <v>2228</v>
      </c>
      <c r="R35" s="23">
        <v>2272</v>
      </c>
      <c r="S35" s="23">
        <v>2302</v>
      </c>
      <c r="T35" s="23">
        <v>2361</v>
      </c>
      <c r="U35" s="23">
        <v>2407</v>
      </c>
    </row>
    <row r="36" spans="1:21" x14ac:dyDescent="0.25">
      <c r="A36" s="23" t="s">
        <v>24</v>
      </c>
      <c r="B36" s="23">
        <v>2102</v>
      </c>
      <c r="C36" s="23">
        <v>2143</v>
      </c>
      <c r="D36" s="23">
        <v>2186</v>
      </c>
      <c r="E36" s="23">
        <v>2230</v>
      </c>
      <c r="F36" s="23">
        <v>2281</v>
      </c>
      <c r="G36" s="23">
        <v>2345</v>
      </c>
      <c r="H36" s="23">
        <v>2414</v>
      </c>
      <c r="I36" s="23">
        <v>2484</v>
      </c>
      <c r="J36" s="23">
        <v>2558</v>
      </c>
      <c r="K36" s="23">
        <v>2643</v>
      </c>
      <c r="L36" s="23">
        <v>2731</v>
      </c>
      <c r="M36" s="23">
        <v>2822</v>
      </c>
      <c r="N36" s="23">
        <v>2917</v>
      </c>
      <c r="O36" s="23">
        <v>3014</v>
      </c>
      <c r="P36" s="23">
        <v>3115</v>
      </c>
      <c r="Q36" s="23">
        <v>3220</v>
      </c>
      <c r="R36" s="23">
        <v>3327</v>
      </c>
      <c r="S36" s="23">
        <v>3439</v>
      </c>
      <c r="T36" s="23">
        <v>3554</v>
      </c>
      <c r="U36" s="23">
        <v>3674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U31"/>
  <sheetViews>
    <sheetView workbookViewId="0"/>
  </sheetViews>
  <sheetFormatPr defaultRowHeight="15" x14ac:dyDescent="0.25"/>
  <cols>
    <col min="1" max="1" width="11.85546875" customWidth="1"/>
  </cols>
  <sheetData>
    <row r="1" spans="1:20" x14ac:dyDescent="0.25">
      <c r="A1" t="s">
        <v>27</v>
      </c>
      <c r="B1" s="22">
        <v>7</v>
      </c>
      <c r="C1" t="s">
        <v>28</v>
      </c>
      <c r="D1" t="s">
        <v>29</v>
      </c>
      <c r="E1" t="s">
        <v>30</v>
      </c>
    </row>
    <row r="2" spans="1:20" x14ac:dyDescent="0.25">
      <c r="A2" t="s">
        <v>31</v>
      </c>
      <c r="D2">
        <v>2008</v>
      </c>
      <c r="E2">
        <v>2009</v>
      </c>
      <c r="F2">
        <v>2010</v>
      </c>
      <c r="G2">
        <v>2011</v>
      </c>
      <c r="H2">
        <v>2012</v>
      </c>
      <c r="I2">
        <v>2013</v>
      </c>
      <c r="J2">
        <v>2014</v>
      </c>
      <c r="K2">
        <v>2015</v>
      </c>
      <c r="L2">
        <v>2016</v>
      </c>
      <c r="M2">
        <v>2017</v>
      </c>
      <c r="N2">
        <v>2018</v>
      </c>
      <c r="O2">
        <v>2019</v>
      </c>
      <c r="P2">
        <v>2020</v>
      </c>
      <c r="Q2">
        <v>2021</v>
      </c>
      <c r="R2">
        <v>2022</v>
      </c>
      <c r="S2">
        <v>2023</v>
      </c>
      <c r="T2">
        <v>2024</v>
      </c>
    </row>
    <row r="3" spans="1:20" x14ac:dyDescent="0.25">
      <c r="A3" t="s">
        <v>13</v>
      </c>
      <c r="D3" s="37">
        <v>5105</v>
      </c>
      <c r="E3" s="37">
        <v>5784</v>
      </c>
      <c r="F3" s="37">
        <v>6343</v>
      </c>
      <c r="G3" s="37">
        <v>6929</v>
      </c>
      <c r="H3" s="37">
        <v>7516</v>
      </c>
      <c r="I3" s="37">
        <v>8122</v>
      </c>
      <c r="J3" s="38">
        <v>8771.5</v>
      </c>
      <c r="K3" s="38">
        <v>9437.2000000000007</v>
      </c>
      <c r="L3" s="37">
        <v>10032</v>
      </c>
      <c r="M3" s="37">
        <v>10658</v>
      </c>
      <c r="N3" s="37">
        <v>11316</v>
      </c>
      <c r="O3" s="37">
        <v>12008</v>
      </c>
      <c r="P3" s="37">
        <v>12674</v>
      </c>
      <c r="Q3" s="37">
        <v>13364</v>
      </c>
      <c r="R3" s="37">
        <v>14077</v>
      </c>
      <c r="S3" s="37">
        <v>14812</v>
      </c>
      <c r="T3" s="37">
        <v>15568</v>
      </c>
    </row>
    <row r="4" spans="1:20" x14ac:dyDescent="0.25">
      <c r="A4" t="s">
        <v>14</v>
      </c>
      <c r="D4" s="17"/>
      <c r="E4" s="17"/>
      <c r="F4" s="17"/>
      <c r="G4" s="17"/>
      <c r="H4" s="17"/>
      <c r="I4" s="17"/>
      <c r="L4" s="17"/>
      <c r="M4" s="17"/>
      <c r="N4" s="17"/>
      <c r="O4" s="17"/>
      <c r="P4" s="17"/>
      <c r="Q4" s="17"/>
      <c r="R4" s="17"/>
      <c r="S4" s="17"/>
      <c r="T4" s="17"/>
    </row>
    <row r="5" spans="1:20" x14ac:dyDescent="0.25">
      <c r="A5" t="s">
        <v>15</v>
      </c>
      <c r="D5" s="25">
        <v>5588</v>
      </c>
      <c r="E5" s="25">
        <v>5781</v>
      </c>
      <c r="F5" s="25">
        <v>5982</v>
      </c>
      <c r="G5" s="25">
        <v>6189</v>
      </c>
      <c r="H5" s="25">
        <v>6404</v>
      </c>
      <c r="I5" s="25">
        <v>6625</v>
      </c>
      <c r="J5" s="25">
        <v>6855</v>
      </c>
      <c r="K5" s="25">
        <v>7093</v>
      </c>
      <c r="L5" s="25">
        <v>7338</v>
      </c>
      <c r="M5" s="25">
        <v>7593</v>
      </c>
      <c r="N5" s="25">
        <v>7856</v>
      </c>
      <c r="O5" s="25">
        <v>8128</v>
      </c>
      <c r="P5" s="25">
        <v>8409</v>
      </c>
      <c r="Q5" s="25">
        <v>8661</v>
      </c>
      <c r="R5" s="25">
        <v>8921</v>
      </c>
      <c r="S5" s="25">
        <v>9189</v>
      </c>
      <c r="T5" s="25">
        <v>9464</v>
      </c>
    </row>
    <row r="6" spans="1:20" x14ac:dyDescent="0.25">
      <c r="A6" t="s">
        <v>16</v>
      </c>
      <c r="D6" s="39">
        <v>488</v>
      </c>
      <c r="E6" s="39">
        <v>512</v>
      </c>
      <c r="F6" s="39">
        <v>538</v>
      </c>
      <c r="G6" s="39">
        <v>556</v>
      </c>
      <c r="H6" s="39">
        <v>580</v>
      </c>
      <c r="I6" s="39">
        <v>605</v>
      </c>
      <c r="J6" s="39">
        <v>631</v>
      </c>
      <c r="K6" s="39">
        <v>658</v>
      </c>
      <c r="L6" s="39">
        <v>687</v>
      </c>
      <c r="M6" s="39">
        <v>716</v>
      </c>
      <c r="N6" s="39">
        <v>747</v>
      </c>
      <c r="O6" s="39">
        <v>779</v>
      </c>
      <c r="P6" s="39">
        <v>813</v>
      </c>
      <c r="Q6" s="39">
        <v>847</v>
      </c>
      <c r="R6" s="39">
        <v>884</v>
      </c>
      <c r="S6" s="39">
        <v>922</v>
      </c>
      <c r="T6" s="39">
        <v>962</v>
      </c>
    </row>
    <row r="7" spans="1:20" x14ac:dyDescent="0.25">
      <c r="A7" t="s">
        <v>17</v>
      </c>
      <c r="D7" s="25">
        <v>1528</v>
      </c>
      <c r="E7" s="25">
        <v>1635</v>
      </c>
      <c r="F7" s="25">
        <v>1740.1</v>
      </c>
      <c r="G7" s="25">
        <v>2143</v>
      </c>
      <c r="H7" s="25">
        <v>2245</v>
      </c>
      <c r="I7" s="25">
        <v>2347</v>
      </c>
      <c r="J7" s="25">
        <v>2450</v>
      </c>
      <c r="K7" s="25">
        <v>2553</v>
      </c>
      <c r="L7" s="25">
        <v>2656</v>
      </c>
      <c r="M7" s="25">
        <v>2761</v>
      </c>
      <c r="N7" s="25">
        <v>2866</v>
      </c>
      <c r="O7" s="25">
        <v>2973</v>
      </c>
      <c r="P7" s="25">
        <v>3081</v>
      </c>
      <c r="Q7" s="25">
        <v>3190</v>
      </c>
      <c r="R7" s="25">
        <v>3284</v>
      </c>
      <c r="S7" s="25">
        <v>3380</v>
      </c>
      <c r="T7" s="25">
        <v>3479</v>
      </c>
    </row>
    <row r="8" spans="1:20" x14ac:dyDescent="0.25">
      <c r="A8" t="s">
        <v>18</v>
      </c>
      <c r="D8" s="39">
        <v>2881</v>
      </c>
      <c r="E8" s="39">
        <v>3119</v>
      </c>
      <c r="F8" s="39">
        <v>3356</v>
      </c>
      <c r="G8" s="39">
        <v>3521</v>
      </c>
      <c r="H8" s="39">
        <v>3687</v>
      </c>
      <c r="I8" s="39">
        <v>3852</v>
      </c>
      <c r="J8" s="39">
        <v>4017.3</v>
      </c>
      <c r="K8" s="39">
        <v>4348</v>
      </c>
      <c r="L8" s="39">
        <v>4522</v>
      </c>
      <c r="M8" s="39">
        <v>4695</v>
      </c>
      <c r="N8" s="39">
        <v>4869</v>
      </c>
      <c r="O8" s="39">
        <v>5042</v>
      </c>
      <c r="P8" s="39">
        <v>5389</v>
      </c>
      <c r="Q8" s="39">
        <v>5777</v>
      </c>
      <c r="R8" s="39">
        <v>6193</v>
      </c>
      <c r="S8" s="39">
        <v>6639</v>
      </c>
      <c r="T8" s="39">
        <v>7117</v>
      </c>
    </row>
    <row r="9" spans="1:20" x14ac:dyDescent="0.25">
      <c r="A9" t="s">
        <v>19</v>
      </c>
      <c r="D9" s="25">
        <v>3007</v>
      </c>
      <c r="E9" s="25">
        <v>3091</v>
      </c>
      <c r="F9" s="25">
        <v>3236</v>
      </c>
      <c r="G9" s="25">
        <v>3373</v>
      </c>
      <c r="H9" s="25">
        <v>3513</v>
      </c>
      <c r="I9" s="25">
        <v>3701</v>
      </c>
      <c r="J9" s="25">
        <v>3848</v>
      </c>
      <c r="K9" s="25">
        <v>3956</v>
      </c>
      <c r="L9" s="25">
        <v>4123</v>
      </c>
      <c r="M9" s="25">
        <v>4289</v>
      </c>
      <c r="N9" s="25">
        <v>4496</v>
      </c>
      <c r="O9" s="25">
        <v>4663</v>
      </c>
      <c r="P9" s="25">
        <v>4838</v>
      </c>
      <c r="Q9" s="25">
        <v>4966</v>
      </c>
      <c r="R9" s="25">
        <v>5143</v>
      </c>
      <c r="S9" s="25">
        <v>5338</v>
      </c>
      <c r="T9" s="25">
        <v>5579</v>
      </c>
    </row>
    <row r="10" spans="1:20" x14ac:dyDescent="0.25">
      <c r="A10" t="s">
        <v>20</v>
      </c>
      <c r="D10" s="25">
        <v>252109</v>
      </c>
      <c r="E10" s="25">
        <v>261361</v>
      </c>
      <c r="F10" s="25">
        <v>271103</v>
      </c>
      <c r="G10" s="25">
        <v>280739</v>
      </c>
      <c r="H10" s="25">
        <v>290904</v>
      </c>
      <c r="I10" s="25">
        <v>303086</v>
      </c>
      <c r="J10" s="25">
        <v>315039</v>
      </c>
      <c r="K10" s="25">
        <v>327790</v>
      </c>
      <c r="L10" s="25">
        <v>340121</v>
      </c>
      <c r="M10" s="25">
        <v>354423</v>
      </c>
      <c r="N10" s="25">
        <v>368643</v>
      </c>
      <c r="O10" s="25">
        <v>383464</v>
      </c>
      <c r="P10" s="25">
        <v>398084</v>
      </c>
      <c r="Q10" s="25">
        <v>414618</v>
      </c>
      <c r="R10" s="25">
        <v>431126</v>
      </c>
      <c r="S10" s="25">
        <v>447663</v>
      </c>
      <c r="T10" s="25">
        <v>463780</v>
      </c>
    </row>
    <row r="11" spans="1:20" x14ac:dyDescent="0.25">
      <c r="A11" t="s">
        <v>21</v>
      </c>
      <c r="D11" s="37">
        <v>1154</v>
      </c>
      <c r="E11" s="37">
        <v>1205</v>
      </c>
      <c r="F11" s="37">
        <v>1262</v>
      </c>
      <c r="G11" s="37">
        <v>1319</v>
      </c>
      <c r="H11" s="37">
        <v>1386</v>
      </c>
      <c r="I11" s="37">
        <v>1443</v>
      </c>
      <c r="J11" s="37">
        <v>1494</v>
      </c>
      <c r="K11" s="37">
        <v>1534</v>
      </c>
      <c r="L11" s="37">
        <v>1573</v>
      </c>
      <c r="M11" s="37">
        <v>1624</v>
      </c>
      <c r="N11" s="37">
        <v>1658</v>
      </c>
      <c r="O11" s="37">
        <v>1698</v>
      </c>
      <c r="P11" s="37">
        <v>1720</v>
      </c>
      <c r="Q11" s="37">
        <v>1743</v>
      </c>
      <c r="R11" s="37">
        <v>1760</v>
      </c>
      <c r="S11" s="37">
        <v>1783</v>
      </c>
      <c r="T11" s="37">
        <v>1805</v>
      </c>
    </row>
    <row r="12" spans="1:20" x14ac:dyDescent="0.25">
      <c r="A12" t="s">
        <v>22</v>
      </c>
      <c r="D12" s="37">
        <v>4414</v>
      </c>
      <c r="E12" s="37">
        <v>4628</v>
      </c>
      <c r="F12" s="37">
        <v>4820</v>
      </c>
      <c r="G12" s="37">
        <v>5021</v>
      </c>
      <c r="H12" s="37">
        <v>5230</v>
      </c>
      <c r="I12" s="37">
        <v>5448</v>
      </c>
      <c r="J12" s="37">
        <v>5675</v>
      </c>
      <c r="K12" s="37">
        <v>5911</v>
      </c>
      <c r="L12" s="37">
        <v>6158</v>
      </c>
      <c r="M12" s="37">
        <v>6415</v>
      </c>
      <c r="N12" s="37">
        <v>6683</v>
      </c>
      <c r="O12" s="37">
        <v>6962</v>
      </c>
      <c r="P12" s="37">
        <v>7252</v>
      </c>
      <c r="Q12" s="37">
        <v>7555</v>
      </c>
      <c r="R12" s="37">
        <v>7871</v>
      </c>
      <c r="S12" s="37">
        <v>8200</v>
      </c>
      <c r="T12" s="37">
        <v>8543</v>
      </c>
    </row>
    <row r="13" spans="1:20" x14ac:dyDescent="0.25">
      <c r="A13" t="s">
        <v>23</v>
      </c>
      <c r="D13" s="25">
        <v>13014</v>
      </c>
      <c r="E13" s="25">
        <v>14354</v>
      </c>
      <c r="F13" s="25">
        <v>14749</v>
      </c>
      <c r="G13" s="25">
        <v>16000</v>
      </c>
      <c r="H13" s="25">
        <v>17927</v>
      </c>
      <c r="I13" s="25">
        <v>18377</v>
      </c>
      <c r="J13" s="25">
        <v>18613</v>
      </c>
      <c r="K13" s="25">
        <v>18853</v>
      </c>
      <c r="L13" s="25">
        <v>19098</v>
      </c>
      <c r="M13" s="25">
        <v>19384</v>
      </c>
      <c r="N13" s="25">
        <v>19553</v>
      </c>
      <c r="O13" s="25">
        <v>19760</v>
      </c>
      <c r="P13" s="25">
        <v>19968</v>
      </c>
      <c r="Q13" s="25">
        <v>20177</v>
      </c>
      <c r="R13" s="25">
        <v>20387</v>
      </c>
      <c r="S13" s="25">
        <v>20597</v>
      </c>
      <c r="T13" s="25">
        <v>20809</v>
      </c>
    </row>
    <row r="14" spans="1:20" x14ac:dyDescent="0.25">
      <c r="A14" t="s">
        <v>24</v>
      </c>
      <c r="D14" s="37">
        <v>12668</v>
      </c>
      <c r="E14" s="37">
        <v>12924</v>
      </c>
      <c r="F14" s="37">
        <v>13221</v>
      </c>
      <c r="G14" s="37">
        <v>13592</v>
      </c>
      <c r="H14" s="37">
        <v>13990</v>
      </c>
      <c r="I14" s="37">
        <v>14400</v>
      </c>
      <c r="J14" s="37">
        <v>14828</v>
      </c>
      <c r="K14" s="37">
        <v>15317</v>
      </c>
      <c r="L14" s="37">
        <v>15829</v>
      </c>
      <c r="M14" s="37">
        <v>16358</v>
      </c>
      <c r="N14" s="37">
        <v>16905</v>
      </c>
      <c r="O14" s="37">
        <v>17470</v>
      </c>
      <c r="P14" s="37">
        <v>18055</v>
      </c>
      <c r="Q14" s="37">
        <v>18660</v>
      </c>
      <c r="R14" s="37">
        <v>19285</v>
      </c>
      <c r="S14" s="37">
        <v>19932</v>
      </c>
      <c r="T14" s="37">
        <v>20601</v>
      </c>
    </row>
    <row r="15" spans="1:20" x14ac:dyDescent="0.25"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x14ac:dyDescent="0.25"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9" spans="1:21" x14ac:dyDescent="0.25">
      <c r="B19">
        <v>2006</v>
      </c>
      <c r="C19">
        <v>2007</v>
      </c>
      <c r="D19">
        <v>2008</v>
      </c>
      <c r="E19">
        <v>2009</v>
      </c>
      <c r="F19">
        <v>2010</v>
      </c>
      <c r="G19">
        <v>2011</v>
      </c>
      <c r="H19">
        <v>2012</v>
      </c>
      <c r="I19">
        <v>2013</v>
      </c>
      <c r="J19">
        <v>2014</v>
      </c>
      <c r="K19">
        <v>2015</v>
      </c>
      <c r="L19">
        <v>2016</v>
      </c>
      <c r="M19">
        <v>2017</v>
      </c>
      <c r="N19">
        <v>2018</v>
      </c>
      <c r="O19">
        <v>2019</v>
      </c>
      <c r="P19">
        <v>2020</v>
      </c>
      <c r="Q19">
        <v>2021</v>
      </c>
      <c r="R19">
        <v>2022</v>
      </c>
      <c r="S19">
        <v>2023</v>
      </c>
      <c r="T19">
        <v>2024</v>
      </c>
      <c r="U19">
        <v>2025</v>
      </c>
    </row>
    <row r="20" spans="1:21" x14ac:dyDescent="0.25">
      <c r="A20" t="s">
        <v>13</v>
      </c>
      <c r="B20" s="17">
        <v>3529</v>
      </c>
      <c r="C20" s="17">
        <v>4509</v>
      </c>
      <c r="D20" s="17">
        <v>5105</v>
      </c>
      <c r="E20" s="17">
        <v>5784</v>
      </c>
      <c r="F20" s="17">
        <v>6343</v>
      </c>
      <c r="G20" s="17">
        <v>6929</v>
      </c>
      <c r="H20" s="17">
        <v>7516</v>
      </c>
      <c r="I20" s="17">
        <v>8122</v>
      </c>
      <c r="J20" s="17">
        <v>8772</v>
      </c>
      <c r="K20" s="17">
        <v>9437</v>
      </c>
      <c r="L20" s="17">
        <v>10032</v>
      </c>
      <c r="M20" s="17">
        <v>10658</v>
      </c>
      <c r="N20" s="17">
        <v>11316</v>
      </c>
      <c r="O20" s="17">
        <v>12008</v>
      </c>
      <c r="P20" s="17">
        <v>12674</v>
      </c>
      <c r="Q20" s="17">
        <v>13364</v>
      </c>
      <c r="R20" s="17">
        <v>14077</v>
      </c>
      <c r="S20" s="17">
        <v>14812</v>
      </c>
      <c r="T20" s="17">
        <v>15568</v>
      </c>
      <c r="U20" s="17">
        <v>16345</v>
      </c>
    </row>
    <row r="21" spans="1:21" x14ac:dyDescent="0.25">
      <c r="A21" t="s">
        <v>14</v>
      </c>
      <c r="B21" s="17">
        <v>2627</v>
      </c>
      <c r="C21" s="17">
        <v>2847</v>
      </c>
      <c r="D21" s="17">
        <v>3201</v>
      </c>
      <c r="E21" s="17">
        <v>3838</v>
      </c>
      <c r="F21" s="17">
        <v>4202</v>
      </c>
      <c r="G21" s="17">
        <v>4545</v>
      </c>
      <c r="H21" s="17">
        <v>4659</v>
      </c>
      <c r="I21" s="17">
        <v>4935</v>
      </c>
      <c r="J21" s="17">
        <v>5173</v>
      </c>
      <c r="K21" s="17">
        <v>5298</v>
      </c>
      <c r="L21" s="17">
        <v>5411</v>
      </c>
      <c r="M21" s="17">
        <v>5919</v>
      </c>
      <c r="N21" s="17">
        <v>6247</v>
      </c>
      <c r="O21" s="17">
        <v>6744</v>
      </c>
      <c r="P21" s="17">
        <v>6848</v>
      </c>
      <c r="Q21" s="17">
        <v>6949</v>
      </c>
      <c r="R21" s="17">
        <v>7049</v>
      </c>
      <c r="S21" s="17">
        <v>7147</v>
      </c>
      <c r="T21" s="17">
        <v>7243</v>
      </c>
      <c r="U21" s="17">
        <v>7336</v>
      </c>
    </row>
    <row r="22" spans="1:21" x14ac:dyDescent="0.25">
      <c r="A22" t="s">
        <v>15</v>
      </c>
      <c r="B22" s="17">
        <v>5485</v>
      </c>
      <c r="C22" s="17">
        <v>6274</v>
      </c>
      <c r="D22" s="17">
        <v>7177</v>
      </c>
      <c r="E22" s="17">
        <v>8209</v>
      </c>
      <c r="F22" s="17">
        <v>9390</v>
      </c>
      <c r="G22" s="17">
        <v>9781</v>
      </c>
      <c r="H22" s="17">
        <v>10188</v>
      </c>
      <c r="I22" s="17">
        <v>10612</v>
      </c>
      <c r="J22" s="17">
        <v>11054</v>
      </c>
      <c r="K22" s="17">
        <v>11514</v>
      </c>
      <c r="L22" s="17">
        <v>11947</v>
      </c>
      <c r="M22" s="17">
        <v>12444</v>
      </c>
      <c r="N22" s="17">
        <v>12962</v>
      </c>
      <c r="O22" s="17">
        <v>13502</v>
      </c>
      <c r="P22" s="17">
        <v>13848</v>
      </c>
      <c r="Q22" s="17">
        <v>14369</v>
      </c>
      <c r="R22" s="17">
        <v>14967</v>
      </c>
      <c r="S22" s="17">
        <v>15590</v>
      </c>
      <c r="T22" s="17">
        <v>16239</v>
      </c>
      <c r="U22" s="17">
        <v>16915</v>
      </c>
    </row>
    <row r="23" spans="1:21" x14ac:dyDescent="0.25">
      <c r="A23" t="s">
        <v>16</v>
      </c>
      <c r="B23">
        <v>490</v>
      </c>
      <c r="C23">
        <v>512</v>
      </c>
      <c r="D23">
        <v>528</v>
      </c>
      <c r="E23">
        <v>554</v>
      </c>
      <c r="F23">
        <v>576</v>
      </c>
      <c r="G23">
        <v>600</v>
      </c>
      <c r="H23">
        <v>625</v>
      </c>
      <c r="I23">
        <v>651</v>
      </c>
      <c r="J23">
        <v>678</v>
      </c>
      <c r="K23">
        <v>706</v>
      </c>
      <c r="L23">
        <v>736</v>
      </c>
      <c r="M23">
        <v>767</v>
      </c>
      <c r="N23">
        <v>798</v>
      </c>
      <c r="O23">
        <v>832</v>
      </c>
      <c r="P23">
        <v>866</v>
      </c>
      <c r="Q23">
        <v>902</v>
      </c>
      <c r="R23">
        <v>940</v>
      </c>
      <c r="S23">
        <v>979</v>
      </c>
      <c r="T23" s="17">
        <v>1020</v>
      </c>
      <c r="U23" s="17">
        <v>1063</v>
      </c>
    </row>
    <row r="24" spans="1:21" x14ac:dyDescent="0.25">
      <c r="A24" t="s">
        <v>17</v>
      </c>
      <c r="B24" s="17">
        <v>1266</v>
      </c>
      <c r="C24" s="17">
        <v>1315</v>
      </c>
      <c r="D24" s="17">
        <v>1405</v>
      </c>
      <c r="E24" s="17">
        <v>1503</v>
      </c>
      <c r="F24" s="17">
        <v>1600</v>
      </c>
      <c r="G24" s="17">
        <v>1971</v>
      </c>
      <c r="H24" s="17">
        <v>2065</v>
      </c>
      <c r="I24" s="17">
        <v>2158</v>
      </c>
      <c r="J24" s="17">
        <v>2253</v>
      </c>
      <c r="K24" s="17">
        <v>2347</v>
      </c>
      <c r="L24" s="17">
        <v>2443</v>
      </c>
      <c r="M24" s="17">
        <v>2539</v>
      </c>
      <c r="N24" s="17">
        <v>2636</v>
      </c>
      <c r="O24" s="17">
        <v>2734</v>
      </c>
      <c r="P24" s="17">
        <v>2833</v>
      </c>
      <c r="Q24" s="17">
        <v>2934</v>
      </c>
      <c r="R24" s="17">
        <v>3020</v>
      </c>
      <c r="S24" s="17">
        <v>3108</v>
      </c>
      <c r="T24" s="17">
        <v>3199</v>
      </c>
      <c r="U24" s="17">
        <v>3293</v>
      </c>
    </row>
    <row r="25" spans="1:21" x14ac:dyDescent="0.25">
      <c r="A25" t="s">
        <v>18</v>
      </c>
      <c r="B25" s="17">
        <v>2622</v>
      </c>
      <c r="C25" s="17">
        <v>2873</v>
      </c>
      <c r="D25" s="17">
        <v>3240</v>
      </c>
      <c r="E25" s="17">
        <v>3505</v>
      </c>
      <c r="F25" s="17">
        <v>3758</v>
      </c>
      <c r="G25" s="17">
        <v>3996</v>
      </c>
      <c r="H25" s="17">
        <v>4269</v>
      </c>
      <c r="I25" s="17">
        <v>4464</v>
      </c>
      <c r="J25" s="17">
        <v>4678</v>
      </c>
      <c r="K25" s="17">
        <v>4898</v>
      </c>
      <c r="L25" s="17">
        <v>5084</v>
      </c>
      <c r="M25" s="17">
        <v>5302</v>
      </c>
      <c r="N25" s="17">
        <v>5515</v>
      </c>
      <c r="O25" s="17">
        <v>5736</v>
      </c>
      <c r="P25" s="17">
        <v>5966</v>
      </c>
      <c r="Q25" s="17">
        <v>6205</v>
      </c>
      <c r="R25" s="17">
        <v>6454</v>
      </c>
      <c r="S25" s="17">
        <v>6713</v>
      </c>
      <c r="T25" s="17">
        <v>6982</v>
      </c>
      <c r="U25" s="17">
        <v>7262</v>
      </c>
    </row>
    <row r="26" spans="1:21" x14ac:dyDescent="0.25">
      <c r="A26" t="s">
        <v>19</v>
      </c>
      <c r="B26" s="17">
        <v>2533</v>
      </c>
      <c r="C26" s="17">
        <v>2653</v>
      </c>
      <c r="D26" s="17">
        <v>2900</v>
      </c>
      <c r="E26" s="17">
        <v>2943</v>
      </c>
      <c r="F26" s="17">
        <v>2992</v>
      </c>
      <c r="G26" s="17">
        <v>3042</v>
      </c>
      <c r="H26" s="17">
        <v>3117</v>
      </c>
      <c r="I26" s="17">
        <v>3175</v>
      </c>
      <c r="J26" s="17">
        <v>3256</v>
      </c>
      <c r="K26" s="17">
        <v>3353</v>
      </c>
      <c r="L26" s="17">
        <v>3461</v>
      </c>
      <c r="M26" s="17">
        <v>3569</v>
      </c>
      <c r="N26" s="17">
        <v>3688</v>
      </c>
      <c r="O26" s="17">
        <v>3812</v>
      </c>
      <c r="P26" s="17">
        <v>3940</v>
      </c>
      <c r="Q26" s="17">
        <v>4069</v>
      </c>
      <c r="R26" s="17">
        <v>4203</v>
      </c>
      <c r="S26" s="17">
        <v>4341</v>
      </c>
      <c r="T26" s="17">
        <v>4485</v>
      </c>
      <c r="U26" s="17">
        <v>4629</v>
      </c>
    </row>
    <row r="27" spans="1:21" x14ac:dyDescent="0.25">
      <c r="A27" t="s">
        <v>20</v>
      </c>
      <c r="B27" s="17">
        <v>226571</v>
      </c>
      <c r="C27" s="17">
        <v>237625</v>
      </c>
      <c r="D27" s="17">
        <v>248976</v>
      </c>
      <c r="E27" s="17">
        <v>262952</v>
      </c>
      <c r="F27" s="17">
        <v>269940</v>
      </c>
      <c r="G27" s="17">
        <v>281141</v>
      </c>
      <c r="H27" s="17">
        <v>290958</v>
      </c>
      <c r="I27" s="17">
        <v>298292</v>
      </c>
      <c r="J27" s="17">
        <v>305014</v>
      </c>
      <c r="K27" s="17">
        <v>311474</v>
      </c>
      <c r="L27" s="17">
        <v>317746</v>
      </c>
      <c r="M27" s="17">
        <v>323398</v>
      </c>
      <c r="N27" s="17">
        <v>329361</v>
      </c>
      <c r="O27" s="17">
        <v>334819</v>
      </c>
      <c r="P27" s="17">
        <v>341021</v>
      </c>
      <c r="Q27" s="17">
        <v>346781</v>
      </c>
      <c r="R27" s="17">
        <v>351052</v>
      </c>
      <c r="S27" s="17">
        <v>355298</v>
      </c>
      <c r="T27" s="17">
        <v>361495</v>
      </c>
      <c r="U27" s="17">
        <v>365152</v>
      </c>
    </row>
    <row r="28" spans="1:21" x14ac:dyDescent="0.25">
      <c r="A28" t="s">
        <v>21</v>
      </c>
      <c r="B28" s="17">
        <v>1064</v>
      </c>
      <c r="C28" s="17">
        <v>1098</v>
      </c>
      <c r="D28" s="17">
        <v>1154</v>
      </c>
      <c r="E28" s="17">
        <v>1205</v>
      </c>
      <c r="F28" s="17">
        <v>1262</v>
      </c>
      <c r="G28" s="17">
        <v>1319</v>
      </c>
      <c r="H28" s="17">
        <v>1386</v>
      </c>
      <c r="I28" s="17">
        <v>1443</v>
      </c>
      <c r="J28" s="17">
        <v>1494</v>
      </c>
      <c r="K28" s="17">
        <v>1534</v>
      </c>
      <c r="L28" s="17">
        <v>1573</v>
      </c>
      <c r="M28" s="17">
        <v>1624</v>
      </c>
      <c r="N28" s="17">
        <v>1658</v>
      </c>
      <c r="O28" s="17">
        <v>1698</v>
      </c>
      <c r="P28" s="17">
        <v>1720</v>
      </c>
      <c r="Q28" s="17">
        <v>1743</v>
      </c>
      <c r="R28" s="17">
        <v>1760</v>
      </c>
      <c r="S28" s="17">
        <v>1783</v>
      </c>
      <c r="T28" s="17">
        <v>1805</v>
      </c>
      <c r="U28" s="17">
        <v>1828</v>
      </c>
    </row>
    <row r="29" spans="1:21" x14ac:dyDescent="0.25">
      <c r="A29" t="s">
        <v>22</v>
      </c>
      <c r="B29" s="17">
        <v>3556</v>
      </c>
      <c r="C29" s="17">
        <v>4171</v>
      </c>
      <c r="D29" s="17">
        <v>4414</v>
      </c>
      <c r="E29" s="17">
        <v>4628</v>
      </c>
      <c r="F29" s="17">
        <v>4820</v>
      </c>
      <c r="G29" s="17">
        <v>5021</v>
      </c>
      <c r="H29" s="17">
        <v>5230</v>
      </c>
      <c r="I29" s="17">
        <v>5448</v>
      </c>
      <c r="J29" s="17">
        <v>5675</v>
      </c>
      <c r="K29" s="17">
        <v>5911</v>
      </c>
      <c r="L29" s="17">
        <v>6158</v>
      </c>
      <c r="M29" s="17">
        <v>6415</v>
      </c>
      <c r="N29" s="17">
        <v>6683</v>
      </c>
      <c r="O29" s="17">
        <v>6962</v>
      </c>
      <c r="P29" s="17">
        <v>7252</v>
      </c>
      <c r="Q29" s="17">
        <v>7555</v>
      </c>
      <c r="R29" s="17">
        <v>7871</v>
      </c>
      <c r="S29" s="17">
        <v>8200</v>
      </c>
      <c r="T29" s="17">
        <v>8543</v>
      </c>
      <c r="U29" s="17">
        <v>8900</v>
      </c>
    </row>
    <row r="30" spans="1:21" x14ac:dyDescent="0.25">
      <c r="A30" t="s">
        <v>23</v>
      </c>
      <c r="B30" s="17">
        <v>10214</v>
      </c>
      <c r="C30" s="17">
        <v>11355</v>
      </c>
      <c r="D30" s="17">
        <v>12191</v>
      </c>
      <c r="E30" s="17">
        <v>13117</v>
      </c>
      <c r="F30" s="17">
        <v>13509</v>
      </c>
      <c r="G30" s="17">
        <v>14208</v>
      </c>
      <c r="H30" s="17">
        <v>14497</v>
      </c>
      <c r="I30" s="17">
        <v>14725</v>
      </c>
      <c r="J30" s="17">
        <v>14955</v>
      </c>
      <c r="K30" s="17">
        <v>15188</v>
      </c>
      <c r="L30" s="17">
        <v>15427</v>
      </c>
      <c r="M30" s="17">
        <v>15669</v>
      </c>
      <c r="N30" s="17">
        <v>15870</v>
      </c>
      <c r="O30" s="17">
        <v>16070</v>
      </c>
      <c r="P30" s="17">
        <v>16168</v>
      </c>
      <c r="Q30" s="17">
        <v>16474</v>
      </c>
      <c r="R30" s="17">
        <v>16677</v>
      </c>
      <c r="S30" s="17">
        <v>16777</v>
      </c>
      <c r="T30" s="17">
        <v>17086</v>
      </c>
      <c r="U30" s="17">
        <v>17291</v>
      </c>
    </row>
    <row r="31" spans="1:21" x14ac:dyDescent="0.25">
      <c r="A31" t="s">
        <v>24</v>
      </c>
      <c r="B31" s="17">
        <v>12240</v>
      </c>
      <c r="C31" s="17">
        <v>12441</v>
      </c>
      <c r="D31" s="17">
        <v>12668</v>
      </c>
      <c r="E31" s="17">
        <v>12924</v>
      </c>
      <c r="F31" s="17">
        <v>13221</v>
      </c>
      <c r="G31" s="17">
        <v>13592</v>
      </c>
      <c r="H31" s="17">
        <v>13990</v>
      </c>
      <c r="I31" s="17">
        <v>14400</v>
      </c>
      <c r="J31" s="17">
        <v>14828</v>
      </c>
      <c r="K31" s="17">
        <v>15317</v>
      </c>
      <c r="L31" s="17">
        <v>15829</v>
      </c>
      <c r="M31" s="17">
        <v>16358</v>
      </c>
      <c r="N31" s="17">
        <v>16905</v>
      </c>
      <c r="O31" s="17">
        <v>17470</v>
      </c>
      <c r="P31" s="17">
        <v>18055</v>
      </c>
      <c r="Q31" s="17">
        <v>18660</v>
      </c>
      <c r="R31" s="17">
        <v>19285</v>
      </c>
      <c r="S31" s="17">
        <v>19932</v>
      </c>
      <c r="T31" s="17">
        <v>20601</v>
      </c>
      <c r="U31" s="17">
        <v>21295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Q2:AD18"/>
  <sheetViews>
    <sheetView workbookViewId="0"/>
  </sheetViews>
  <sheetFormatPr defaultRowHeight="15" x14ac:dyDescent="0.25"/>
  <sheetData>
    <row r="2" spans="17:30" x14ac:dyDescent="0.25">
      <c r="Q2" t="s">
        <v>152</v>
      </c>
    </row>
    <row r="6" spans="17:30" x14ac:dyDescent="0.25">
      <c r="R6" t="s">
        <v>153</v>
      </c>
      <c r="S6" t="s">
        <v>155</v>
      </c>
      <c r="T6" t="s">
        <v>159</v>
      </c>
      <c r="V6" t="s">
        <v>160</v>
      </c>
      <c r="W6" t="s">
        <v>167</v>
      </c>
      <c r="Y6" t="s">
        <v>168</v>
      </c>
      <c r="Z6" s="99" t="s">
        <v>173</v>
      </c>
      <c r="AA6" t="s">
        <v>170</v>
      </c>
      <c r="AB6" s="99" t="s">
        <v>173</v>
      </c>
      <c r="AC6" t="s">
        <v>172</v>
      </c>
    </row>
    <row r="7" spans="17:30" x14ac:dyDescent="0.25">
      <c r="R7" t="s">
        <v>154</v>
      </c>
      <c r="S7">
        <f>30+2+1</f>
        <v>33</v>
      </c>
      <c r="T7" s="91">
        <f>1-SUM(T8:T10)</f>
        <v>0.37</v>
      </c>
      <c r="U7" t="s">
        <v>163</v>
      </c>
      <c r="V7" s="91">
        <v>0.05</v>
      </c>
      <c r="Y7">
        <v>16.899999999999999</v>
      </c>
      <c r="Z7" s="83">
        <f>Y7/Y$11</f>
        <v>0.69447012751129023</v>
      </c>
      <c r="AA7">
        <f>S7</f>
        <v>33</v>
      </c>
      <c r="AB7" s="83">
        <f>AA7/AA$11</f>
        <v>0.73595004460303293</v>
      </c>
      <c r="AC7" s="91">
        <f>AB7-Z7</f>
        <v>4.1479917091742702E-2</v>
      </c>
      <c r="AD7" s="83"/>
    </row>
    <row r="8" spans="17:30" x14ac:dyDescent="0.25">
      <c r="R8" t="s">
        <v>156</v>
      </c>
      <c r="S8">
        <f>31+2+1+1</f>
        <v>35</v>
      </c>
      <c r="T8" s="91">
        <v>0.3</v>
      </c>
      <c r="Y8">
        <v>20.71</v>
      </c>
      <c r="Z8" s="83">
        <f t="shared" ref="Z8:Z10" si="0">Y8/Y$11</f>
        <v>0.85103410300348059</v>
      </c>
      <c r="AA8">
        <f t="shared" ref="AA8:AA10" si="1">S8</f>
        <v>35</v>
      </c>
      <c r="AB8" s="83">
        <f t="shared" ref="AB8:AB10" si="2">AA8/AA$11</f>
        <v>0.78055307760927739</v>
      </c>
      <c r="AC8" s="91">
        <f t="shared" ref="AC8:AC10" si="3">AB8-Z8</f>
        <v>-7.0481025394203201E-2</v>
      </c>
      <c r="AD8" s="83"/>
    </row>
    <row r="9" spans="17:30" x14ac:dyDescent="0.25">
      <c r="R9" t="s">
        <v>157</v>
      </c>
      <c r="S9">
        <f>31+2+6+1</f>
        <v>40</v>
      </c>
      <c r="T9" s="91">
        <v>0.14000000000000001</v>
      </c>
      <c r="U9" t="s">
        <v>162</v>
      </c>
      <c r="Y9">
        <v>33.9</v>
      </c>
      <c r="Z9" s="83">
        <f t="shared" si="0"/>
        <v>1.3930495457179135</v>
      </c>
      <c r="AA9">
        <f t="shared" si="1"/>
        <v>40</v>
      </c>
      <c r="AB9" s="83">
        <f t="shared" si="2"/>
        <v>0.89206066012488838</v>
      </c>
      <c r="AC9" s="91">
        <f t="shared" si="3"/>
        <v>-0.50098888559302512</v>
      </c>
      <c r="AD9" s="83"/>
    </row>
    <row r="10" spans="17:30" x14ac:dyDescent="0.25">
      <c r="R10" t="s">
        <v>158</v>
      </c>
      <c r="S10">
        <f>34+3+38+12</f>
        <v>87</v>
      </c>
      <c r="T10" s="83">
        <v>0.19</v>
      </c>
      <c r="U10" t="s">
        <v>161</v>
      </c>
      <c r="Y10">
        <v>37.49</v>
      </c>
      <c r="Z10" s="83">
        <f t="shared" si="0"/>
        <v>1.5405730816803711</v>
      </c>
      <c r="AA10">
        <f t="shared" si="1"/>
        <v>87</v>
      </c>
      <c r="AB10" s="83">
        <f t="shared" si="2"/>
        <v>1.9402319357716322</v>
      </c>
      <c r="AC10" s="91">
        <f t="shared" si="3"/>
        <v>0.39965885409126112</v>
      </c>
      <c r="AD10" s="83"/>
    </row>
    <row r="11" spans="17:30" x14ac:dyDescent="0.25">
      <c r="R11" t="s">
        <v>25</v>
      </c>
      <c r="S11">
        <f>31+2+7+2</f>
        <v>42</v>
      </c>
      <c r="T11">
        <f>SUMPRODUCT(S7:S10,T7:T10)</f>
        <v>44.84</v>
      </c>
      <c r="X11" t="s">
        <v>169</v>
      </c>
      <c r="Y11">
        <f>SUMPRODUCT(T7:T10,Y7:Y10)</f>
        <v>24.335100000000001</v>
      </c>
      <c r="AA11">
        <f>SUMPRODUCT(T7:T10,AA7:AA10)</f>
        <v>44.84</v>
      </c>
      <c r="AC11" s="91">
        <f>SUM(AC7:AC10)</f>
        <v>-0.13033113980422451</v>
      </c>
    </row>
    <row r="14" spans="17:30" x14ac:dyDescent="0.25">
      <c r="R14" t="s">
        <v>164</v>
      </c>
      <c r="T14" t="s">
        <v>48</v>
      </c>
      <c r="U14" t="s">
        <v>160</v>
      </c>
      <c r="V14" t="s">
        <v>166</v>
      </c>
      <c r="W14" t="s">
        <v>171</v>
      </c>
    </row>
    <row r="15" spans="17:30" x14ac:dyDescent="0.25">
      <c r="R15" t="s">
        <v>165</v>
      </c>
      <c r="T15" s="91">
        <f>T8+T7</f>
        <v>0.66999999999999993</v>
      </c>
      <c r="U15" s="91">
        <v>0.05</v>
      </c>
      <c r="V15">
        <f>T15*(1+U15)</f>
        <v>0.7034999999999999</v>
      </c>
      <c r="W15" s="83">
        <f>V15/$V$18</f>
        <v>0.64928472542685733</v>
      </c>
    </row>
    <row r="16" spans="17:30" x14ac:dyDescent="0.25">
      <c r="R16" t="s">
        <v>147</v>
      </c>
      <c r="T16" s="91">
        <f>T9+T10-T17</f>
        <v>0.32</v>
      </c>
      <c r="U16" s="91">
        <f>U15+10%</f>
        <v>0.15000000000000002</v>
      </c>
      <c r="V16">
        <f t="shared" ref="V16:V17" si="4">T16*(1+U16)</f>
        <v>0.36799999999999999</v>
      </c>
      <c r="W16" s="83">
        <f t="shared" ref="W16:W17" si="5">V16/$V$18</f>
        <v>0.33964005537609598</v>
      </c>
    </row>
    <row r="17" spans="18:23" x14ac:dyDescent="0.25">
      <c r="R17" t="s">
        <v>150</v>
      </c>
      <c r="T17" s="91">
        <v>0.01</v>
      </c>
      <c r="U17" s="91">
        <f>U15+15%</f>
        <v>0.2</v>
      </c>
      <c r="V17">
        <f t="shared" si="4"/>
        <v>1.2E-2</v>
      </c>
      <c r="W17" s="83">
        <f t="shared" si="5"/>
        <v>1.1075219197046609E-2</v>
      </c>
    </row>
    <row r="18" spans="18:23" x14ac:dyDescent="0.25">
      <c r="V18">
        <f>SUM(V15:V17)</f>
        <v>1.0834999999999999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D71"/>
  <sheetViews>
    <sheetView workbookViewId="0"/>
  </sheetViews>
  <sheetFormatPr defaultRowHeight="12.75" x14ac:dyDescent="0.2"/>
  <cols>
    <col min="1" max="1" width="66.140625" style="2" customWidth="1"/>
    <col min="2" max="2" width="9.140625" style="2"/>
    <col min="3" max="26" width="11.28515625" style="2" bestFit="1" customWidth="1"/>
    <col min="27" max="27" width="9.85546875" style="2" customWidth="1"/>
    <col min="28" max="253" width="9.140625" style="2"/>
    <col min="254" max="254" width="66.140625" style="2" customWidth="1"/>
    <col min="255" max="257" width="9.140625" style="2"/>
    <col min="258" max="258" width="9.7109375" style="2" customWidth="1"/>
    <col min="259" max="282" width="11.28515625" style="2" bestFit="1" customWidth="1"/>
    <col min="283" max="509" width="9.140625" style="2"/>
    <col min="510" max="510" width="66.140625" style="2" customWidth="1"/>
    <col min="511" max="513" width="9.140625" style="2"/>
    <col min="514" max="514" width="9.7109375" style="2" customWidth="1"/>
    <col min="515" max="538" width="11.28515625" style="2" bestFit="1" customWidth="1"/>
    <col min="539" max="765" width="9.140625" style="2"/>
    <col min="766" max="766" width="66.140625" style="2" customWidth="1"/>
    <col min="767" max="769" width="9.140625" style="2"/>
    <col min="770" max="770" width="9.7109375" style="2" customWidth="1"/>
    <col min="771" max="794" width="11.28515625" style="2" bestFit="1" customWidth="1"/>
    <col min="795" max="1021" width="9.140625" style="2"/>
    <col min="1022" max="1022" width="66.140625" style="2" customWidth="1"/>
    <col min="1023" max="1025" width="9.140625" style="2"/>
    <col min="1026" max="1026" width="9.7109375" style="2" customWidth="1"/>
    <col min="1027" max="1050" width="11.28515625" style="2" bestFit="1" customWidth="1"/>
    <col min="1051" max="1277" width="9.140625" style="2"/>
    <col min="1278" max="1278" width="66.140625" style="2" customWidth="1"/>
    <col min="1279" max="1281" width="9.140625" style="2"/>
    <col min="1282" max="1282" width="9.7109375" style="2" customWidth="1"/>
    <col min="1283" max="1306" width="11.28515625" style="2" bestFit="1" customWidth="1"/>
    <col min="1307" max="1533" width="9.140625" style="2"/>
    <col min="1534" max="1534" width="66.140625" style="2" customWidth="1"/>
    <col min="1535" max="1537" width="9.140625" style="2"/>
    <col min="1538" max="1538" width="9.7109375" style="2" customWidth="1"/>
    <col min="1539" max="1562" width="11.28515625" style="2" bestFit="1" customWidth="1"/>
    <col min="1563" max="1789" width="9.140625" style="2"/>
    <col min="1790" max="1790" width="66.140625" style="2" customWidth="1"/>
    <col min="1791" max="1793" width="9.140625" style="2"/>
    <col min="1794" max="1794" width="9.7109375" style="2" customWidth="1"/>
    <col min="1795" max="1818" width="11.28515625" style="2" bestFit="1" customWidth="1"/>
    <col min="1819" max="2045" width="9.140625" style="2"/>
    <col min="2046" max="2046" width="66.140625" style="2" customWidth="1"/>
    <col min="2047" max="2049" width="9.140625" style="2"/>
    <col min="2050" max="2050" width="9.7109375" style="2" customWidth="1"/>
    <col min="2051" max="2074" width="11.28515625" style="2" bestFit="1" customWidth="1"/>
    <col min="2075" max="2301" width="9.140625" style="2"/>
    <col min="2302" max="2302" width="66.140625" style="2" customWidth="1"/>
    <col min="2303" max="2305" width="9.140625" style="2"/>
    <col min="2306" max="2306" width="9.7109375" style="2" customWidth="1"/>
    <col min="2307" max="2330" width="11.28515625" style="2" bestFit="1" customWidth="1"/>
    <col min="2331" max="2557" width="9.140625" style="2"/>
    <col min="2558" max="2558" width="66.140625" style="2" customWidth="1"/>
    <col min="2559" max="2561" width="9.140625" style="2"/>
    <col min="2562" max="2562" width="9.7109375" style="2" customWidth="1"/>
    <col min="2563" max="2586" width="11.28515625" style="2" bestFit="1" customWidth="1"/>
    <col min="2587" max="2813" width="9.140625" style="2"/>
    <col min="2814" max="2814" width="66.140625" style="2" customWidth="1"/>
    <col min="2815" max="2817" width="9.140625" style="2"/>
    <col min="2818" max="2818" width="9.7109375" style="2" customWidth="1"/>
    <col min="2819" max="2842" width="11.28515625" style="2" bestFit="1" customWidth="1"/>
    <col min="2843" max="3069" width="9.140625" style="2"/>
    <col min="3070" max="3070" width="66.140625" style="2" customWidth="1"/>
    <col min="3071" max="3073" width="9.140625" style="2"/>
    <col min="3074" max="3074" width="9.7109375" style="2" customWidth="1"/>
    <col min="3075" max="3098" width="11.28515625" style="2" bestFit="1" customWidth="1"/>
    <col min="3099" max="3325" width="9.140625" style="2"/>
    <col min="3326" max="3326" width="66.140625" style="2" customWidth="1"/>
    <col min="3327" max="3329" width="9.140625" style="2"/>
    <col min="3330" max="3330" width="9.7109375" style="2" customWidth="1"/>
    <col min="3331" max="3354" width="11.28515625" style="2" bestFit="1" customWidth="1"/>
    <col min="3355" max="3581" width="9.140625" style="2"/>
    <col min="3582" max="3582" width="66.140625" style="2" customWidth="1"/>
    <col min="3583" max="3585" width="9.140625" style="2"/>
    <col min="3586" max="3586" width="9.7109375" style="2" customWidth="1"/>
    <col min="3587" max="3610" width="11.28515625" style="2" bestFit="1" customWidth="1"/>
    <col min="3611" max="3837" width="9.140625" style="2"/>
    <col min="3838" max="3838" width="66.140625" style="2" customWidth="1"/>
    <col min="3839" max="3841" width="9.140625" style="2"/>
    <col min="3842" max="3842" width="9.7109375" style="2" customWidth="1"/>
    <col min="3843" max="3866" width="11.28515625" style="2" bestFit="1" customWidth="1"/>
    <col min="3867" max="4093" width="9.140625" style="2"/>
    <col min="4094" max="4094" width="66.140625" style="2" customWidth="1"/>
    <col min="4095" max="4097" width="9.140625" style="2"/>
    <col min="4098" max="4098" width="9.7109375" style="2" customWidth="1"/>
    <col min="4099" max="4122" width="11.28515625" style="2" bestFit="1" customWidth="1"/>
    <col min="4123" max="4349" width="9.140625" style="2"/>
    <col min="4350" max="4350" width="66.140625" style="2" customWidth="1"/>
    <col min="4351" max="4353" width="9.140625" style="2"/>
    <col min="4354" max="4354" width="9.7109375" style="2" customWidth="1"/>
    <col min="4355" max="4378" width="11.28515625" style="2" bestFit="1" customWidth="1"/>
    <col min="4379" max="4605" width="9.140625" style="2"/>
    <col min="4606" max="4606" width="66.140625" style="2" customWidth="1"/>
    <col min="4607" max="4609" width="9.140625" style="2"/>
    <col min="4610" max="4610" width="9.7109375" style="2" customWidth="1"/>
    <col min="4611" max="4634" width="11.28515625" style="2" bestFit="1" customWidth="1"/>
    <col min="4635" max="4861" width="9.140625" style="2"/>
    <col min="4862" max="4862" width="66.140625" style="2" customWidth="1"/>
    <col min="4863" max="4865" width="9.140625" style="2"/>
    <col min="4866" max="4866" width="9.7109375" style="2" customWidth="1"/>
    <col min="4867" max="4890" width="11.28515625" style="2" bestFit="1" customWidth="1"/>
    <col min="4891" max="5117" width="9.140625" style="2"/>
    <col min="5118" max="5118" width="66.140625" style="2" customWidth="1"/>
    <col min="5119" max="5121" width="9.140625" style="2"/>
    <col min="5122" max="5122" width="9.7109375" style="2" customWidth="1"/>
    <col min="5123" max="5146" width="11.28515625" style="2" bestFit="1" customWidth="1"/>
    <col min="5147" max="5373" width="9.140625" style="2"/>
    <col min="5374" max="5374" width="66.140625" style="2" customWidth="1"/>
    <col min="5375" max="5377" width="9.140625" style="2"/>
    <col min="5378" max="5378" width="9.7109375" style="2" customWidth="1"/>
    <col min="5379" max="5402" width="11.28515625" style="2" bestFit="1" customWidth="1"/>
    <col min="5403" max="5629" width="9.140625" style="2"/>
    <col min="5630" max="5630" width="66.140625" style="2" customWidth="1"/>
    <col min="5631" max="5633" width="9.140625" style="2"/>
    <col min="5634" max="5634" width="9.7109375" style="2" customWidth="1"/>
    <col min="5635" max="5658" width="11.28515625" style="2" bestFit="1" customWidth="1"/>
    <col min="5659" max="5885" width="9.140625" style="2"/>
    <col min="5886" max="5886" width="66.140625" style="2" customWidth="1"/>
    <col min="5887" max="5889" width="9.140625" style="2"/>
    <col min="5890" max="5890" width="9.7109375" style="2" customWidth="1"/>
    <col min="5891" max="5914" width="11.28515625" style="2" bestFit="1" customWidth="1"/>
    <col min="5915" max="6141" width="9.140625" style="2"/>
    <col min="6142" max="6142" width="66.140625" style="2" customWidth="1"/>
    <col min="6143" max="6145" width="9.140625" style="2"/>
    <col min="6146" max="6146" width="9.7109375" style="2" customWidth="1"/>
    <col min="6147" max="6170" width="11.28515625" style="2" bestFit="1" customWidth="1"/>
    <col min="6171" max="6397" width="9.140625" style="2"/>
    <col min="6398" max="6398" width="66.140625" style="2" customWidth="1"/>
    <col min="6399" max="6401" width="9.140625" style="2"/>
    <col min="6402" max="6402" width="9.7109375" style="2" customWidth="1"/>
    <col min="6403" max="6426" width="11.28515625" style="2" bestFit="1" customWidth="1"/>
    <col min="6427" max="6653" width="9.140625" style="2"/>
    <col min="6654" max="6654" width="66.140625" style="2" customWidth="1"/>
    <col min="6655" max="6657" width="9.140625" style="2"/>
    <col min="6658" max="6658" width="9.7109375" style="2" customWidth="1"/>
    <col min="6659" max="6682" width="11.28515625" style="2" bestFit="1" customWidth="1"/>
    <col min="6683" max="6909" width="9.140625" style="2"/>
    <col min="6910" max="6910" width="66.140625" style="2" customWidth="1"/>
    <col min="6911" max="6913" width="9.140625" style="2"/>
    <col min="6914" max="6914" width="9.7109375" style="2" customWidth="1"/>
    <col min="6915" max="6938" width="11.28515625" style="2" bestFit="1" customWidth="1"/>
    <col min="6939" max="7165" width="9.140625" style="2"/>
    <col min="7166" max="7166" width="66.140625" style="2" customWidth="1"/>
    <col min="7167" max="7169" width="9.140625" style="2"/>
    <col min="7170" max="7170" width="9.7109375" style="2" customWidth="1"/>
    <col min="7171" max="7194" width="11.28515625" style="2" bestFit="1" customWidth="1"/>
    <col min="7195" max="7421" width="9.140625" style="2"/>
    <col min="7422" max="7422" width="66.140625" style="2" customWidth="1"/>
    <col min="7423" max="7425" width="9.140625" style="2"/>
    <col min="7426" max="7426" width="9.7109375" style="2" customWidth="1"/>
    <col min="7427" max="7450" width="11.28515625" style="2" bestFit="1" customWidth="1"/>
    <col min="7451" max="7677" width="9.140625" style="2"/>
    <col min="7678" max="7678" width="66.140625" style="2" customWidth="1"/>
    <col min="7679" max="7681" width="9.140625" style="2"/>
    <col min="7682" max="7682" width="9.7109375" style="2" customWidth="1"/>
    <col min="7683" max="7706" width="11.28515625" style="2" bestFit="1" customWidth="1"/>
    <col min="7707" max="7933" width="9.140625" style="2"/>
    <col min="7934" max="7934" width="66.140625" style="2" customWidth="1"/>
    <col min="7935" max="7937" width="9.140625" style="2"/>
    <col min="7938" max="7938" width="9.7109375" style="2" customWidth="1"/>
    <col min="7939" max="7962" width="11.28515625" style="2" bestFit="1" customWidth="1"/>
    <col min="7963" max="8189" width="9.140625" style="2"/>
    <col min="8190" max="8190" width="66.140625" style="2" customWidth="1"/>
    <col min="8191" max="8193" width="9.140625" style="2"/>
    <col min="8194" max="8194" width="9.7109375" style="2" customWidth="1"/>
    <col min="8195" max="8218" width="11.28515625" style="2" bestFit="1" customWidth="1"/>
    <col min="8219" max="8445" width="9.140625" style="2"/>
    <col min="8446" max="8446" width="66.140625" style="2" customWidth="1"/>
    <col min="8447" max="8449" width="9.140625" style="2"/>
    <col min="8450" max="8450" width="9.7109375" style="2" customWidth="1"/>
    <col min="8451" max="8474" width="11.28515625" style="2" bestFit="1" customWidth="1"/>
    <col min="8475" max="8701" width="9.140625" style="2"/>
    <col min="8702" max="8702" width="66.140625" style="2" customWidth="1"/>
    <col min="8703" max="8705" width="9.140625" style="2"/>
    <col min="8706" max="8706" width="9.7109375" style="2" customWidth="1"/>
    <col min="8707" max="8730" width="11.28515625" style="2" bestFit="1" customWidth="1"/>
    <col min="8731" max="8957" width="9.140625" style="2"/>
    <col min="8958" max="8958" width="66.140625" style="2" customWidth="1"/>
    <col min="8959" max="8961" width="9.140625" style="2"/>
    <col min="8962" max="8962" width="9.7109375" style="2" customWidth="1"/>
    <col min="8963" max="8986" width="11.28515625" style="2" bestFit="1" customWidth="1"/>
    <col min="8987" max="9213" width="9.140625" style="2"/>
    <col min="9214" max="9214" width="66.140625" style="2" customWidth="1"/>
    <col min="9215" max="9217" width="9.140625" style="2"/>
    <col min="9218" max="9218" width="9.7109375" style="2" customWidth="1"/>
    <col min="9219" max="9242" width="11.28515625" style="2" bestFit="1" customWidth="1"/>
    <col min="9243" max="9469" width="9.140625" style="2"/>
    <col min="9470" max="9470" width="66.140625" style="2" customWidth="1"/>
    <col min="9471" max="9473" width="9.140625" style="2"/>
    <col min="9474" max="9474" width="9.7109375" style="2" customWidth="1"/>
    <col min="9475" max="9498" width="11.28515625" style="2" bestFit="1" customWidth="1"/>
    <col min="9499" max="9725" width="9.140625" style="2"/>
    <col min="9726" max="9726" width="66.140625" style="2" customWidth="1"/>
    <col min="9727" max="9729" width="9.140625" style="2"/>
    <col min="9730" max="9730" width="9.7109375" style="2" customWidth="1"/>
    <col min="9731" max="9754" width="11.28515625" style="2" bestFit="1" customWidth="1"/>
    <col min="9755" max="9981" width="9.140625" style="2"/>
    <col min="9982" max="9982" width="66.140625" style="2" customWidth="1"/>
    <col min="9983" max="9985" width="9.140625" style="2"/>
    <col min="9986" max="9986" width="9.7109375" style="2" customWidth="1"/>
    <col min="9987" max="10010" width="11.28515625" style="2" bestFit="1" customWidth="1"/>
    <col min="10011" max="10237" width="9.140625" style="2"/>
    <col min="10238" max="10238" width="66.140625" style="2" customWidth="1"/>
    <col min="10239" max="10241" width="9.140625" style="2"/>
    <col min="10242" max="10242" width="9.7109375" style="2" customWidth="1"/>
    <col min="10243" max="10266" width="11.28515625" style="2" bestFit="1" customWidth="1"/>
    <col min="10267" max="10493" width="9.140625" style="2"/>
    <col min="10494" max="10494" width="66.140625" style="2" customWidth="1"/>
    <col min="10495" max="10497" width="9.140625" style="2"/>
    <col min="10498" max="10498" width="9.7109375" style="2" customWidth="1"/>
    <col min="10499" max="10522" width="11.28515625" style="2" bestFit="1" customWidth="1"/>
    <col min="10523" max="10749" width="9.140625" style="2"/>
    <col min="10750" max="10750" width="66.140625" style="2" customWidth="1"/>
    <col min="10751" max="10753" width="9.140625" style="2"/>
    <col min="10754" max="10754" width="9.7109375" style="2" customWidth="1"/>
    <col min="10755" max="10778" width="11.28515625" style="2" bestFit="1" customWidth="1"/>
    <col min="10779" max="11005" width="9.140625" style="2"/>
    <col min="11006" max="11006" width="66.140625" style="2" customWidth="1"/>
    <col min="11007" max="11009" width="9.140625" style="2"/>
    <col min="11010" max="11010" width="9.7109375" style="2" customWidth="1"/>
    <col min="11011" max="11034" width="11.28515625" style="2" bestFit="1" customWidth="1"/>
    <col min="11035" max="11261" width="9.140625" style="2"/>
    <col min="11262" max="11262" width="66.140625" style="2" customWidth="1"/>
    <col min="11263" max="11265" width="9.140625" style="2"/>
    <col min="11266" max="11266" width="9.7109375" style="2" customWidth="1"/>
    <col min="11267" max="11290" width="11.28515625" style="2" bestFit="1" customWidth="1"/>
    <col min="11291" max="11517" width="9.140625" style="2"/>
    <col min="11518" max="11518" width="66.140625" style="2" customWidth="1"/>
    <col min="11519" max="11521" width="9.140625" style="2"/>
    <col min="11522" max="11522" width="9.7109375" style="2" customWidth="1"/>
    <col min="11523" max="11546" width="11.28515625" style="2" bestFit="1" customWidth="1"/>
    <col min="11547" max="11773" width="9.140625" style="2"/>
    <col min="11774" max="11774" width="66.140625" style="2" customWidth="1"/>
    <col min="11775" max="11777" width="9.140625" style="2"/>
    <col min="11778" max="11778" width="9.7109375" style="2" customWidth="1"/>
    <col min="11779" max="11802" width="11.28515625" style="2" bestFit="1" customWidth="1"/>
    <col min="11803" max="12029" width="9.140625" style="2"/>
    <col min="12030" max="12030" width="66.140625" style="2" customWidth="1"/>
    <col min="12031" max="12033" width="9.140625" style="2"/>
    <col min="12034" max="12034" width="9.7109375" style="2" customWidth="1"/>
    <col min="12035" max="12058" width="11.28515625" style="2" bestFit="1" customWidth="1"/>
    <col min="12059" max="12285" width="9.140625" style="2"/>
    <col min="12286" max="12286" width="66.140625" style="2" customWidth="1"/>
    <col min="12287" max="12289" width="9.140625" style="2"/>
    <col min="12290" max="12290" width="9.7109375" style="2" customWidth="1"/>
    <col min="12291" max="12314" width="11.28515625" style="2" bestFit="1" customWidth="1"/>
    <col min="12315" max="12541" width="9.140625" style="2"/>
    <col min="12542" max="12542" width="66.140625" style="2" customWidth="1"/>
    <col min="12543" max="12545" width="9.140625" style="2"/>
    <col min="12546" max="12546" width="9.7109375" style="2" customWidth="1"/>
    <col min="12547" max="12570" width="11.28515625" style="2" bestFit="1" customWidth="1"/>
    <col min="12571" max="12797" width="9.140625" style="2"/>
    <col min="12798" max="12798" width="66.140625" style="2" customWidth="1"/>
    <col min="12799" max="12801" width="9.140625" style="2"/>
    <col min="12802" max="12802" width="9.7109375" style="2" customWidth="1"/>
    <col min="12803" max="12826" width="11.28515625" style="2" bestFit="1" customWidth="1"/>
    <col min="12827" max="13053" width="9.140625" style="2"/>
    <col min="13054" max="13054" width="66.140625" style="2" customWidth="1"/>
    <col min="13055" max="13057" width="9.140625" style="2"/>
    <col min="13058" max="13058" width="9.7109375" style="2" customWidth="1"/>
    <col min="13059" max="13082" width="11.28515625" style="2" bestFit="1" customWidth="1"/>
    <col min="13083" max="13309" width="9.140625" style="2"/>
    <col min="13310" max="13310" width="66.140625" style="2" customWidth="1"/>
    <col min="13311" max="13313" width="9.140625" style="2"/>
    <col min="13314" max="13314" width="9.7109375" style="2" customWidth="1"/>
    <col min="13315" max="13338" width="11.28515625" style="2" bestFit="1" customWidth="1"/>
    <col min="13339" max="13565" width="9.140625" style="2"/>
    <col min="13566" max="13566" width="66.140625" style="2" customWidth="1"/>
    <col min="13567" max="13569" width="9.140625" style="2"/>
    <col min="13570" max="13570" width="9.7109375" style="2" customWidth="1"/>
    <col min="13571" max="13594" width="11.28515625" style="2" bestFit="1" customWidth="1"/>
    <col min="13595" max="13821" width="9.140625" style="2"/>
    <col min="13822" max="13822" width="66.140625" style="2" customWidth="1"/>
    <col min="13823" max="13825" width="9.140625" style="2"/>
    <col min="13826" max="13826" width="9.7109375" style="2" customWidth="1"/>
    <col min="13827" max="13850" width="11.28515625" style="2" bestFit="1" customWidth="1"/>
    <col min="13851" max="14077" width="9.140625" style="2"/>
    <col min="14078" max="14078" width="66.140625" style="2" customWidth="1"/>
    <col min="14079" max="14081" width="9.140625" style="2"/>
    <col min="14082" max="14082" width="9.7109375" style="2" customWidth="1"/>
    <col min="14083" max="14106" width="11.28515625" style="2" bestFit="1" customWidth="1"/>
    <col min="14107" max="14333" width="9.140625" style="2"/>
    <col min="14334" max="14334" width="66.140625" style="2" customWidth="1"/>
    <col min="14335" max="14337" width="9.140625" style="2"/>
    <col min="14338" max="14338" width="9.7109375" style="2" customWidth="1"/>
    <col min="14339" max="14362" width="11.28515625" style="2" bestFit="1" customWidth="1"/>
    <col min="14363" max="14589" width="9.140625" style="2"/>
    <col min="14590" max="14590" width="66.140625" style="2" customWidth="1"/>
    <col min="14591" max="14593" width="9.140625" style="2"/>
    <col min="14594" max="14594" width="9.7109375" style="2" customWidth="1"/>
    <col min="14595" max="14618" width="11.28515625" style="2" bestFit="1" customWidth="1"/>
    <col min="14619" max="14845" width="9.140625" style="2"/>
    <col min="14846" max="14846" width="66.140625" style="2" customWidth="1"/>
    <col min="14847" max="14849" width="9.140625" style="2"/>
    <col min="14850" max="14850" width="9.7109375" style="2" customWidth="1"/>
    <col min="14851" max="14874" width="11.28515625" style="2" bestFit="1" customWidth="1"/>
    <col min="14875" max="15101" width="9.140625" style="2"/>
    <col min="15102" max="15102" width="66.140625" style="2" customWidth="1"/>
    <col min="15103" max="15105" width="9.140625" style="2"/>
    <col min="15106" max="15106" width="9.7109375" style="2" customWidth="1"/>
    <col min="15107" max="15130" width="11.28515625" style="2" bestFit="1" customWidth="1"/>
    <col min="15131" max="15357" width="9.140625" style="2"/>
    <col min="15358" max="15358" width="66.140625" style="2" customWidth="1"/>
    <col min="15359" max="15361" width="9.140625" style="2"/>
    <col min="15362" max="15362" width="9.7109375" style="2" customWidth="1"/>
    <col min="15363" max="15386" width="11.28515625" style="2" bestFit="1" customWidth="1"/>
    <col min="15387" max="15613" width="9.140625" style="2"/>
    <col min="15614" max="15614" width="66.140625" style="2" customWidth="1"/>
    <col min="15615" max="15617" width="9.140625" style="2"/>
    <col min="15618" max="15618" width="9.7109375" style="2" customWidth="1"/>
    <col min="15619" max="15642" width="11.28515625" style="2" bestFit="1" customWidth="1"/>
    <col min="15643" max="15869" width="9.140625" style="2"/>
    <col min="15870" max="15870" width="66.140625" style="2" customWidth="1"/>
    <col min="15871" max="15873" width="9.140625" style="2"/>
    <col min="15874" max="15874" width="9.7109375" style="2" customWidth="1"/>
    <col min="15875" max="15898" width="11.28515625" style="2" bestFit="1" customWidth="1"/>
    <col min="15899" max="16125" width="9.140625" style="2"/>
    <col min="16126" max="16126" width="66.140625" style="2" customWidth="1"/>
    <col min="16127" max="16129" width="9.140625" style="2"/>
    <col min="16130" max="16130" width="9.7109375" style="2" customWidth="1"/>
    <col min="16131" max="16154" width="11.28515625" style="2" bestFit="1" customWidth="1"/>
    <col min="16155" max="16384" width="9.140625" style="2"/>
  </cols>
  <sheetData>
    <row r="1" spans="1:30" ht="20.25" thickBot="1" x14ac:dyDescent="0.35">
      <c r="A1" s="20" t="s">
        <v>117</v>
      </c>
    </row>
    <row r="2" spans="1:30" ht="15.75" thickTop="1" x14ac:dyDescent="0.25">
      <c r="A2" s="21" t="s">
        <v>15</v>
      </c>
      <c r="B2" s="31" t="s">
        <v>32</v>
      </c>
      <c r="C2" s="1">
        <v>2007</v>
      </c>
      <c r="D2" s="1">
        <v>2008</v>
      </c>
      <c r="E2" s="1">
        <v>2009</v>
      </c>
      <c r="F2" s="1">
        <v>2010</v>
      </c>
      <c r="G2" s="1">
        <v>2011</v>
      </c>
      <c r="H2" s="1">
        <v>2012</v>
      </c>
      <c r="I2" s="1">
        <v>2013</v>
      </c>
      <c r="J2" s="1">
        <v>2014</v>
      </c>
      <c r="K2" s="1">
        <v>2015</v>
      </c>
      <c r="L2" s="1">
        <v>2016</v>
      </c>
      <c r="M2" s="1">
        <v>2017</v>
      </c>
      <c r="N2" s="1">
        <v>2018</v>
      </c>
      <c r="O2" s="1">
        <v>2019</v>
      </c>
      <c r="P2" s="1">
        <v>2020</v>
      </c>
      <c r="Q2" s="1">
        <v>2021</v>
      </c>
      <c r="R2" s="1">
        <v>2022</v>
      </c>
      <c r="S2" s="1">
        <v>2023</v>
      </c>
      <c r="T2" s="1">
        <v>2024</v>
      </c>
      <c r="U2" s="1">
        <v>2025</v>
      </c>
      <c r="V2" s="1">
        <v>2026</v>
      </c>
      <c r="W2" s="1">
        <v>2027</v>
      </c>
      <c r="X2" s="1">
        <v>2028</v>
      </c>
      <c r="Y2" s="1">
        <v>2029</v>
      </c>
      <c r="Z2" s="1">
        <v>2030</v>
      </c>
      <c r="AA2" s="1">
        <v>2031</v>
      </c>
      <c r="AB2" s="2">
        <v>2040</v>
      </c>
      <c r="AC2" s="2">
        <v>2050</v>
      </c>
      <c r="AD2" s="2">
        <v>2060</v>
      </c>
    </row>
    <row r="3" spans="1:30" ht="15" x14ac:dyDescent="0.25">
      <c r="A3" s="3" t="s">
        <v>0</v>
      </c>
      <c r="B3" s="31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0" ht="15" x14ac:dyDescent="0.25">
      <c r="A4" s="1" t="s">
        <v>38</v>
      </c>
      <c r="C4" s="24"/>
      <c r="D4" s="32">
        <f t="shared" ref="D4:U4" si="0">IF($B$3="AR 2008",D41,D43)</f>
        <v>0.14392731909467638</v>
      </c>
      <c r="E4" s="32">
        <f t="shared" si="0"/>
        <v>0.14379267103246485</v>
      </c>
      <c r="F4" s="32">
        <f t="shared" si="0"/>
        <v>0.14386648800097457</v>
      </c>
      <c r="G4" s="32">
        <f t="shared" si="0"/>
        <v>4.1640042598509064E-2</v>
      </c>
      <c r="H4" s="32">
        <f t="shared" si="0"/>
        <v>4.1611287189448953E-2</v>
      </c>
      <c r="I4" s="32">
        <f t="shared" si="0"/>
        <v>4.1617589320769532E-2</v>
      </c>
      <c r="J4" s="32">
        <f t="shared" si="0"/>
        <v>4.1650961176027179E-2</v>
      </c>
      <c r="K4" s="32">
        <f t="shared" si="0"/>
        <v>4.1613895422471403E-2</v>
      </c>
      <c r="L4" s="32">
        <f t="shared" si="0"/>
        <v>3.7606392218169082E-2</v>
      </c>
      <c r="M4" s="32">
        <f t="shared" si="0"/>
        <v>4.160040177450397E-2</v>
      </c>
      <c r="N4" s="32">
        <f t="shared" si="0"/>
        <v>4.1626486660237827E-2</v>
      </c>
      <c r="O4" s="32">
        <f t="shared" si="0"/>
        <v>4.1660237617651585E-2</v>
      </c>
      <c r="P4" s="32">
        <f t="shared" si="0"/>
        <v>2.5625833209894866E-2</v>
      </c>
      <c r="Q4" s="32">
        <f t="shared" si="0"/>
        <v>3.7622761409589867E-2</v>
      </c>
      <c r="R4" s="32">
        <f t="shared" si="0"/>
        <v>4.1617370728652014E-2</v>
      </c>
      <c r="S4" s="32">
        <f t="shared" si="0"/>
        <v>4.1624908131222105E-2</v>
      </c>
      <c r="T4" s="32">
        <f t="shared" si="0"/>
        <v>4.1629249518922329E-2</v>
      </c>
      <c r="U4" s="32">
        <f t="shared" si="0"/>
        <v>4.1628179075066107E-2</v>
      </c>
      <c r="V4" s="32">
        <f>U4</f>
        <v>4.1628179075066107E-2</v>
      </c>
      <c r="W4" s="32">
        <f t="shared" ref="W4:Z4" si="1">V4</f>
        <v>4.1628179075066107E-2</v>
      </c>
      <c r="X4" s="32">
        <f t="shared" si="1"/>
        <v>4.1628179075066107E-2</v>
      </c>
      <c r="Y4" s="32">
        <f t="shared" si="1"/>
        <v>4.1628179075066107E-2</v>
      </c>
      <c r="Z4" s="32">
        <f t="shared" si="1"/>
        <v>4.1628179075066107E-2</v>
      </c>
      <c r="AA4" s="4">
        <f>AB4</f>
        <v>3.0181818181818088E-2</v>
      </c>
      <c r="AB4" s="18">
        <f>SUMIF(PoolPlan_EnergyProj!$Q$1:$AB$1,B2,PoolPlan_EnergyProj!$Q$29:$AB$29)</f>
        <v>3.0181818181818088E-2</v>
      </c>
      <c r="AC4" s="18">
        <f>SUMIF(PoolPlan_EnergyProj!$Q$1:$AB$1,B2,PoolPlan_EnergyProj!$Q$30:$AB$30)</f>
        <v>3.3051305130511466E-3</v>
      </c>
      <c r="AD4" s="86">
        <v>0</v>
      </c>
    </row>
    <row r="5" spans="1:30" ht="15" x14ac:dyDescent="0.25">
      <c r="A5" s="1" t="s">
        <v>115</v>
      </c>
      <c r="B5" s="5" t="s">
        <v>1</v>
      </c>
      <c r="C5" s="23">
        <f>C42*(1-C7)*(1-C10)</f>
        <v>5332.9</v>
      </c>
      <c r="D5" s="7">
        <f t="shared" ref="D5:AA5" si="2">C5*(1+D4)</f>
        <v>6100.4499999999989</v>
      </c>
      <c r="E5" s="7">
        <f t="shared" si="2"/>
        <v>6977.6499999999987</v>
      </c>
      <c r="F5" s="7">
        <f t="shared" si="2"/>
        <v>7981.4999999999991</v>
      </c>
      <c r="G5" s="7">
        <f t="shared" si="2"/>
        <v>8313.8499999999985</v>
      </c>
      <c r="H5" s="7">
        <f t="shared" si="2"/>
        <v>8659.7999999999993</v>
      </c>
      <c r="I5" s="7">
        <f t="shared" si="2"/>
        <v>9020.1999999999989</v>
      </c>
      <c r="J5" s="7">
        <f t="shared" si="2"/>
        <v>9395.9</v>
      </c>
      <c r="K5" s="7">
        <f t="shared" si="2"/>
        <v>9786.8999999999978</v>
      </c>
      <c r="L5" s="7">
        <f t="shared" si="2"/>
        <v>10154.949999999997</v>
      </c>
      <c r="M5" s="7">
        <f t="shared" si="2"/>
        <v>10577.399999999996</v>
      </c>
      <c r="N5" s="7">
        <f t="shared" si="2"/>
        <v>11017.699999999995</v>
      </c>
      <c r="O5" s="7">
        <f t="shared" si="2"/>
        <v>11476.699999999995</v>
      </c>
      <c r="P5" s="7">
        <f t="shared" si="2"/>
        <v>11770.799999999996</v>
      </c>
      <c r="Q5" s="7">
        <f t="shared" si="2"/>
        <v>12213.649999999996</v>
      </c>
      <c r="R5" s="7">
        <f t="shared" si="2"/>
        <v>12721.949999999997</v>
      </c>
      <c r="S5" s="7">
        <f t="shared" si="2"/>
        <v>13251.499999999998</v>
      </c>
      <c r="T5" s="7">
        <f t="shared" si="2"/>
        <v>13803.149999999998</v>
      </c>
      <c r="U5" s="7">
        <f t="shared" si="2"/>
        <v>14377.749999999996</v>
      </c>
      <c r="V5" s="7">
        <f t="shared" si="2"/>
        <v>14976.269551696529</v>
      </c>
      <c r="W5" s="7">
        <f t="shared" si="2"/>
        <v>15599.704382471013</v>
      </c>
      <c r="X5" s="7">
        <f t="shared" si="2"/>
        <v>16249.09167002261</v>
      </c>
      <c r="Y5" s="7">
        <f t="shared" si="2"/>
        <v>16925.511767869477</v>
      </c>
      <c r="Z5" s="7">
        <f t="shared" si="2"/>
        <v>17630.090002679488</v>
      </c>
      <c r="AA5" s="7">
        <f t="shared" si="2"/>
        <v>18162.198173669451</v>
      </c>
      <c r="AB5" s="7">
        <f>AA5*(1+AB4)^9</f>
        <v>23735.224087446524</v>
      </c>
      <c r="AC5" s="7">
        <f>AB5*(1+AC4)^10</f>
        <v>24531.475294656546</v>
      </c>
      <c r="AD5" s="7">
        <f>AC5*(1+AD4)^10</f>
        <v>24531.475294656546</v>
      </c>
    </row>
    <row r="6" spans="1:30" ht="15" x14ac:dyDescent="0.25">
      <c r="A6" s="3" t="s">
        <v>2</v>
      </c>
      <c r="B6" s="5"/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30" ht="15" x14ac:dyDescent="0.25">
      <c r="A7" s="1" t="s">
        <v>3</v>
      </c>
      <c r="C7" s="71">
        <v>0</v>
      </c>
      <c r="D7" s="33">
        <f t="shared" ref="D7:Y7" si="3">C7</f>
        <v>0</v>
      </c>
      <c r="E7" s="33">
        <f t="shared" si="3"/>
        <v>0</v>
      </c>
      <c r="F7" s="33">
        <f t="shared" si="3"/>
        <v>0</v>
      </c>
      <c r="G7" s="33">
        <f t="shared" si="3"/>
        <v>0</v>
      </c>
      <c r="H7" s="33">
        <f t="shared" si="3"/>
        <v>0</v>
      </c>
      <c r="I7" s="33">
        <f t="shared" si="3"/>
        <v>0</v>
      </c>
      <c r="J7" s="33">
        <f t="shared" si="3"/>
        <v>0</v>
      </c>
      <c r="K7" s="33">
        <f t="shared" si="3"/>
        <v>0</v>
      </c>
      <c r="L7" s="33">
        <f t="shared" si="3"/>
        <v>0</v>
      </c>
      <c r="M7" s="33">
        <f t="shared" si="3"/>
        <v>0</v>
      </c>
      <c r="N7" s="33">
        <f t="shared" si="3"/>
        <v>0</v>
      </c>
      <c r="O7" s="33">
        <f t="shared" si="3"/>
        <v>0</v>
      </c>
      <c r="P7" s="33">
        <f t="shared" si="3"/>
        <v>0</v>
      </c>
      <c r="Q7" s="33">
        <f t="shared" si="3"/>
        <v>0</v>
      </c>
      <c r="R7" s="33">
        <f t="shared" si="3"/>
        <v>0</v>
      </c>
      <c r="S7" s="33">
        <f t="shared" si="3"/>
        <v>0</v>
      </c>
      <c r="T7" s="33">
        <f t="shared" si="3"/>
        <v>0</v>
      </c>
      <c r="U7" s="33">
        <f t="shared" si="3"/>
        <v>0</v>
      </c>
      <c r="V7" s="33">
        <f t="shared" si="3"/>
        <v>0</v>
      </c>
      <c r="W7" s="33">
        <f t="shared" si="3"/>
        <v>0</v>
      </c>
      <c r="X7" s="33">
        <f t="shared" si="3"/>
        <v>0</v>
      </c>
      <c r="Y7" s="33">
        <f t="shared" si="3"/>
        <v>0</v>
      </c>
      <c r="Z7" s="33">
        <f>Y7</f>
        <v>0</v>
      </c>
      <c r="AA7" s="33">
        <f t="shared" ref="AA7:AC7" si="4">Z7</f>
        <v>0</v>
      </c>
      <c r="AB7" s="33">
        <f t="shared" si="4"/>
        <v>0</v>
      </c>
      <c r="AC7" s="33">
        <f t="shared" si="4"/>
        <v>0</v>
      </c>
    </row>
    <row r="8" spans="1:30" ht="15" x14ac:dyDescent="0.25">
      <c r="A8" s="1" t="s">
        <v>96</v>
      </c>
      <c r="B8" s="5" t="s">
        <v>1</v>
      </c>
      <c r="C8" s="8">
        <f t="shared" ref="C8:AC8" si="5">C5/(1-C7)</f>
        <v>5332.9</v>
      </c>
      <c r="D8" s="8">
        <f t="shared" si="5"/>
        <v>6100.4499999999989</v>
      </c>
      <c r="E8" s="8">
        <f t="shared" si="5"/>
        <v>6977.6499999999987</v>
      </c>
      <c r="F8" s="8">
        <f t="shared" si="5"/>
        <v>7981.4999999999991</v>
      </c>
      <c r="G8" s="8">
        <f t="shared" si="5"/>
        <v>8313.8499999999985</v>
      </c>
      <c r="H8" s="8">
        <f t="shared" si="5"/>
        <v>8659.7999999999993</v>
      </c>
      <c r="I8" s="8">
        <f t="shared" si="5"/>
        <v>9020.1999999999989</v>
      </c>
      <c r="J8" s="8">
        <f t="shared" si="5"/>
        <v>9395.9</v>
      </c>
      <c r="K8" s="8">
        <f t="shared" si="5"/>
        <v>9786.8999999999978</v>
      </c>
      <c r="L8" s="8">
        <f t="shared" si="5"/>
        <v>10154.949999999997</v>
      </c>
      <c r="M8" s="8">
        <f t="shared" si="5"/>
        <v>10577.399999999996</v>
      </c>
      <c r="N8" s="8">
        <f t="shared" si="5"/>
        <v>11017.699999999995</v>
      </c>
      <c r="O8" s="8">
        <f t="shared" si="5"/>
        <v>11476.699999999995</v>
      </c>
      <c r="P8" s="8">
        <f t="shared" si="5"/>
        <v>11770.799999999996</v>
      </c>
      <c r="Q8" s="8">
        <f t="shared" si="5"/>
        <v>12213.649999999996</v>
      </c>
      <c r="R8" s="8">
        <f t="shared" si="5"/>
        <v>12721.949999999997</v>
      </c>
      <c r="S8" s="8">
        <f t="shared" si="5"/>
        <v>13251.499999999998</v>
      </c>
      <c r="T8" s="8">
        <f t="shared" si="5"/>
        <v>13803.149999999998</v>
      </c>
      <c r="U8" s="8">
        <f t="shared" si="5"/>
        <v>14377.749999999996</v>
      </c>
      <c r="V8" s="8">
        <f t="shared" si="5"/>
        <v>14976.269551696529</v>
      </c>
      <c r="W8" s="8">
        <f t="shared" si="5"/>
        <v>15599.704382471013</v>
      </c>
      <c r="X8" s="8">
        <f t="shared" si="5"/>
        <v>16249.09167002261</v>
      </c>
      <c r="Y8" s="8">
        <f t="shared" si="5"/>
        <v>16925.511767869477</v>
      </c>
      <c r="Z8" s="8">
        <f t="shared" si="5"/>
        <v>17630.090002679488</v>
      </c>
      <c r="AA8" s="8">
        <f t="shared" si="5"/>
        <v>18162.198173669451</v>
      </c>
      <c r="AB8" s="8">
        <f t="shared" si="5"/>
        <v>23735.224087446524</v>
      </c>
      <c r="AC8" s="8">
        <f t="shared" si="5"/>
        <v>24531.475294656546</v>
      </c>
    </row>
    <row r="9" spans="1:30" ht="15" x14ac:dyDescent="0.25">
      <c r="A9" s="3" t="s">
        <v>4</v>
      </c>
      <c r="B9" s="5"/>
      <c r="C9" s="11"/>
      <c r="D9" s="11"/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30" ht="15" x14ac:dyDescent="0.25">
      <c r="A10" s="1" t="s">
        <v>5</v>
      </c>
      <c r="C10" s="26">
        <v>0.15</v>
      </c>
      <c r="D10" s="32">
        <f>C10</f>
        <v>0.15</v>
      </c>
      <c r="E10" s="32">
        <f t="shared" ref="E10:AC10" si="6">D10</f>
        <v>0.15</v>
      </c>
      <c r="F10" s="32">
        <f t="shared" si="6"/>
        <v>0.15</v>
      </c>
      <c r="G10" s="32">
        <f t="shared" si="6"/>
        <v>0.15</v>
      </c>
      <c r="H10" s="32">
        <f t="shared" si="6"/>
        <v>0.15</v>
      </c>
      <c r="I10" s="32">
        <f t="shared" si="6"/>
        <v>0.15</v>
      </c>
      <c r="J10" s="32">
        <f t="shared" si="6"/>
        <v>0.15</v>
      </c>
      <c r="K10" s="32">
        <f t="shared" si="6"/>
        <v>0.15</v>
      </c>
      <c r="L10" s="32">
        <f t="shared" si="6"/>
        <v>0.15</v>
      </c>
      <c r="M10" s="32">
        <f t="shared" si="6"/>
        <v>0.15</v>
      </c>
      <c r="N10" s="32">
        <f t="shared" si="6"/>
        <v>0.15</v>
      </c>
      <c r="O10" s="32">
        <f t="shared" si="6"/>
        <v>0.15</v>
      </c>
      <c r="P10" s="32">
        <f t="shared" si="6"/>
        <v>0.15</v>
      </c>
      <c r="Q10" s="32">
        <f t="shared" si="6"/>
        <v>0.15</v>
      </c>
      <c r="R10" s="32">
        <f t="shared" si="6"/>
        <v>0.15</v>
      </c>
      <c r="S10" s="32">
        <f t="shared" si="6"/>
        <v>0.15</v>
      </c>
      <c r="T10" s="32">
        <f t="shared" si="6"/>
        <v>0.15</v>
      </c>
      <c r="U10" s="32">
        <f t="shared" si="6"/>
        <v>0.15</v>
      </c>
      <c r="V10" s="32">
        <f t="shared" si="6"/>
        <v>0.15</v>
      </c>
      <c r="W10" s="32">
        <f t="shared" si="6"/>
        <v>0.15</v>
      </c>
      <c r="X10" s="32">
        <f t="shared" si="6"/>
        <v>0.15</v>
      </c>
      <c r="Y10" s="32">
        <f t="shared" si="6"/>
        <v>0.15</v>
      </c>
      <c r="Z10" s="32">
        <f t="shared" si="6"/>
        <v>0.15</v>
      </c>
      <c r="AA10" s="32">
        <f t="shared" si="6"/>
        <v>0.15</v>
      </c>
      <c r="AB10" s="32">
        <f t="shared" si="6"/>
        <v>0.15</v>
      </c>
      <c r="AC10" s="32">
        <f t="shared" si="6"/>
        <v>0.15</v>
      </c>
    </row>
    <row r="11" spans="1:30" ht="15" x14ac:dyDescent="0.25">
      <c r="A11" s="1" t="s">
        <v>95</v>
      </c>
      <c r="B11" s="5" t="s">
        <v>1</v>
      </c>
      <c r="C11" s="8">
        <f t="shared" ref="C11:AC11" si="7">C8/(1-C10)</f>
        <v>6274</v>
      </c>
      <c r="D11" s="8">
        <f t="shared" si="7"/>
        <v>7176.9999999999991</v>
      </c>
      <c r="E11" s="8">
        <f t="shared" si="7"/>
        <v>8208.9999999999982</v>
      </c>
      <c r="F11" s="8">
        <f t="shared" si="7"/>
        <v>9390</v>
      </c>
      <c r="G11" s="8">
        <f t="shared" si="7"/>
        <v>9780.9999999999982</v>
      </c>
      <c r="H11" s="8">
        <f t="shared" si="7"/>
        <v>10188</v>
      </c>
      <c r="I11" s="8">
        <f t="shared" si="7"/>
        <v>10611.999999999998</v>
      </c>
      <c r="J11" s="8">
        <f t="shared" si="7"/>
        <v>11054</v>
      </c>
      <c r="K11" s="8">
        <f t="shared" si="7"/>
        <v>11513.999999999998</v>
      </c>
      <c r="L11" s="8">
        <f t="shared" si="7"/>
        <v>11946.999999999996</v>
      </c>
      <c r="M11" s="8">
        <f t="shared" si="7"/>
        <v>12443.999999999996</v>
      </c>
      <c r="N11" s="8">
        <f t="shared" si="7"/>
        <v>12961.999999999995</v>
      </c>
      <c r="O11" s="8">
        <f t="shared" si="7"/>
        <v>13501.999999999995</v>
      </c>
      <c r="P11" s="8">
        <f t="shared" si="7"/>
        <v>13847.999999999995</v>
      </c>
      <c r="Q11" s="8">
        <f t="shared" si="7"/>
        <v>14368.999999999996</v>
      </c>
      <c r="R11" s="8">
        <f t="shared" si="7"/>
        <v>14966.999999999996</v>
      </c>
      <c r="S11" s="8">
        <f t="shared" si="7"/>
        <v>15589.999999999998</v>
      </c>
      <c r="T11" s="8">
        <f t="shared" si="7"/>
        <v>16238.999999999998</v>
      </c>
      <c r="U11" s="8">
        <f t="shared" si="7"/>
        <v>16914.999999999996</v>
      </c>
      <c r="V11" s="8">
        <f t="shared" si="7"/>
        <v>17619.140649054742</v>
      </c>
      <c r="W11" s="8">
        <f t="shared" si="7"/>
        <v>18352.593391142367</v>
      </c>
      <c r="X11" s="8">
        <f t="shared" si="7"/>
        <v>19116.578435320716</v>
      </c>
      <c r="Y11" s="8">
        <f t="shared" si="7"/>
        <v>19912.366785728798</v>
      </c>
      <c r="Z11" s="8">
        <f t="shared" si="7"/>
        <v>20741.282356093518</v>
      </c>
      <c r="AA11" s="8">
        <f t="shared" si="7"/>
        <v>21367.291969022885</v>
      </c>
      <c r="AB11" s="8">
        <f t="shared" si="7"/>
        <v>27923.793044054735</v>
      </c>
      <c r="AC11" s="8">
        <f t="shared" si="7"/>
        <v>28860.559170184173</v>
      </c>
    </row>
    <row r="12" spans="1:30" x14ac:dyDescent="0.2">
      <c r="A12" s="3" t="s">
        <v>6</v>
      </c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30" ht="15" x14ac:dyDescent="0.25">
      <c r="A13" s="5" t="s">
        <v>108</v>
      </c>
      <c r="B13" s="5" t="s">
        <v>105</v>
      </c>
      <c r="C13" s="6">
        <f>VLOOKUP($A$2,AR2008_Stats!$B$4:$O$15,AR2008_Stats!L$1,FALSE)</f>
        <v>1014</v>
      </c>
      <c r="D13" s="64">
        <f>C13</f>
        <v>1014</v>
      </c>
      <c r="E13" s="64">
        <f t="shared" ref="E13:T15" si="8">D13</f>
        <v>1014</v>
      </c>
      <c r="F13" s="64">
        <f t="shared" si="8"/>
        <v>1014</v>
      </c>
      <c r="G13" s="64">
        <f t="shared" si="8"/>
        <v>1014</v>
      </c>
      <c r="H13" s="64">
        <f t="shared" si="8"/>
        <v>1014</v>
      </c>
      <c r="I13" s="64">
        <f t="shared" si="8"/>
        <v>1014</v>
      </c>
      <c r="J13" s="64">
        <f t="shared" si="8"/>
        <v>1014</v>
      </c>
      <c r="K13" s="64">
        <f t="shared" si="8"/>
        <v>1014</v>
      </c>
      <c r="L13" s="64">
        <f t="shared" si="8"/>
        <v>1014</v>
      </c>
      <c r="M13" s="64">
        <f t="shared" si="8"/>
        <v>1014</v>
      </c>
      <c r="N13" s="64">
        <f t="shared" si="8"/>
        <v>1014</v>
      </c>
      <c r="O13" s="64">
        <f t="shared" si="8"/>
        <v>1014</v>
      </c>
      <c r="P13" s="64">
        <f t="shared" si="8"/>
        <v>1014</v>
      </c>
      <c r="Q13" s="64">
        <f t="shared" si="8"/>
        <v>1014</v>
      </c>
      <c r="R13" s="64">
        <f t="shared" si="8"/>
        <v>1014</v>
      </c>
      <c r="S13" s="64">
        <f t="shared" si="8"/>
        <v>1014</v>
      </c>
      <c r="T13" s="64">
        <f t="shared" si="8"/>
        <v>1014</v>
      </c>
      <c r="U13" s="64">
        <f t="shared" ref="U13:AA15" si="9">T13</f>
        <v>1014</v>
      </c>
      <c r="V13" s="64">
        <f t="shared" si="9"/>
        <v>1014</v>
      </c>
      <c r="W13" s="64">
        <f t="shared" si="9"/>
        <v>1014</v>
      </c>
      <c r="X13" s="64">
        <f t="shared" si="9"/>
        <v>1014</v>
      </c>
      <c r="Y13" s="64">
        <f t="shared" si="9"/>
        <v>1014</v>
      </c>
      <c r="Z13" s="64">
        <f t="shared" si="9"/>
        <v>1014</v>
      </c>
      <c r="AA13" s="64">
        <f t="shared" si="9"/>
        <v>1014</v>
      </c>
    </row>
    <row r="14" spans="1:30" ht="15" x14ac:dyDescent="0.25">
      <c r="A14" s="5" t="s">
        <v>109</v>
      </c>
      <c r="B14" s="5"/>
      <c r="C14" s="6">
        <v>0</v>
      </c>
      <c r="D14" s="64">
        <f>C14</f>
        <v>0</v>
      </c>
      <c r="E14" s="64">
        <f t="shared" si="8"/>
        <v>0</v>
      </c>
      <c r="F14" s="64">
        <f t="shared" si="8"/>
        <v>0</v>
      </c>
      <c r="G14" s="64">
        <f t="shared" si="8"/>
        <v>0</v>
      </c>
      <c r="H14" s="64">
        <f t="shared" si="8"/>
        <v>0</v>
      </c>
      <c r="I14" s="64">
        <f t="shared" si="8"/>
        <v>0</v>
      </c>
      <c r="J14" s="64">
        <f t="shared" si="8"/>
        <v>0</v>
      </c>
      <c r="K14" s="64">
        <f t="shared" si="8"/>
        <v>0</v>
      </c>
      <c r="L14" s="64">
        <f t="shared" si="8"/>
        <v>0</v>
      </c>
      <c r="M14" s="64">
        <f t="shared" si="8"/>
        <v>0</v>
      </c>
      <c r="N14" s="64">
        <f t="shared" si="8"/>
        <v>0</v>
      </c>
      <c r="O14" s="64">
        <f t="shared" si="8"/>
        <v>0</v>
      </c>
      <c r="P14" s="64">
        <f t="shared" si="8"/>
        <v>0</v>
      </c>
      <c r="Q14" s="64">
        <f t="shared" si="8"/>
        <v>0</v>
      </c>
      <c r="R14" s="64">
        <f t="shared" si="8"/>
        <v>0</v>
      </c>
      <c r="S14" s="64">
        <f t="shared" si="8"/>
        <v>0</v>
      </c>
      <c r="T14" s="64">
        <f t="shared" si="8"/>
        <v>0</v>
      </c>
      <c r="U14" s="64">
        <f t="shared" si="9"/>
        <v>0</v>
      </c>
      <c r="V14" s="64">
        <f t="shared" si="9"/>
        <v>0</v>
      </c>
      <c r="W14" s="64">
        <f t="shared" si="9"/>
        <v>0</v>
      </c>
      <c r="X14" s="64">
        <f t="shared" si="9"/>
        <v>0</v>
      </c>
      <c r="Y14" s="64">
        <f t="shared" si="9"/>
        <v>0</v>
      </c>
      <c r="Z14" s="64">
        <f t="shared" si="9"/>
        <v>0</v>
      </c>
      <c r="AA14" s="64">
        <f t="shared" si="9"/>
        <v>0</v>
      </c>
    </row>
    <row r="15" spans="1:30" ht="15" x14ac:dyDescent="0.25">
      <c r="A15" s="5" t="s">
        <v>110</v>
      </c>
      <c r="B15" s="5"/>
      <c r="C15" s="6">
        <v>0</v>
      </c>
      <c r="D15" s="64">
        <f>C15</f>
        <v>0</v>
      </c>
      <c r="E15" s="64">
        <f t="shared" si="8"/>
        <v>0</v>
      </c>
      <c r="F15" s="64">
        <f t="shared" si="8"/>
        <v>0</v>
      </c>
      <c r="G15" s="64">
        <f t="shared" si="8"/>
        <v>0</v>
      </c>
      <c r="H15" s="64">
        <f t="shared" si="8"/>
        <v>0</v>
      </c>
      <c r="I15" s="64">
        <f t="shared" si="8"/>
        <v>0</v>
      </c>
      <c r="J15" s="64">
        <f t="shared" si="8"/>
        <v>0</v>
      </c>
      <c r="K15" s="64">
        <f t="shared" si="8"/>
        <v>0</v>
      </c>
      <c r="L15" s="64">
        <f t="shared" si="8"/>
        <v>0</v>
      </c>
      <c r="M15" s="64">
        <f t="shared" si="8"/>
        <v>0</v>
      </c>
      <c r="N15" s="64">
        <f t="shared" si="8"/>
        <v>0</v>
      </c>
      <c r="O15" s="64">
        <f t="shared" si="8"/>
        <v>0</v>
      </c>
      <c r="P15" s="64">
        <f t="shared" si="8"/>
        <v>0</v>
      </c>
      <c r="Q15" s="64">
        <f t="shared" si="8"/>
        <v>0</v>
      </c>
      <c r="R15" s="64">
        <f t="shared" si="8"/>
        <v>0</v>
      </c>
      <c r="S15" s="64">
        <f t="shared" si="8"/>
        <v>0</v>
      </c>
      <c r="T15" s="64">
        <f t="shared" si="8"/>
        <v>0</v>
      </c>
      <c r="U15" s="64">
        <f t="shared" si="9"/>
        <v>0</v>
      </c>
      <c r="V15" s="64">
        <f t="shared" si="9"/>
        <v>0</v>
      </c>
      <c r="W15" s="64">
        <f t="shared" si="9"/>
        <v>0</v>
      </c>
      <c r="X15" s="64">
        <f t="shared" si="9"/>
        <v>0</v>
      </c>
      <c r="Y15" s="64">
        <f t="shared" si="9"/>
        <v>0</v>
      </c>
      <c r="Z15" s="64">
        <f t="shared" si="9"/>
        <v>0</v>
      </c>
      <c r="AA15" s="64">
        <f t="shared" si="9"/>
        <v>0</v>
      </c>
    </row>
    <row r="16" spans="1:30" ht="15" x14ac:dyDescent="0.25">
      <c r="A16" s="5" t="s">
        <v>112</v>
      </c>
      <c r="B16" s="5"/>
      <c r="C16" s="6">
        <v>0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</row>
    <row r="17" spans="1:27" ht="15" x14ac:dyDescent="0.25">
      <c r="A17" s="5" t="s">
        <v>113</v>
      </c>
      <c r="B17" s="5"/>
      <c r="C17" s="6">
        <v>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</row>
    <row r="18" spans="1:27" ht="15" x14ac:dyDescent="0.25">
      <c r="A18" s="1" t="s">
        <v>111</v>
      </c>
      <c r="B18" s="5"/>
      <c r="C18" s="65">
        <f>SUM(C13:C17)</f>
        <v>1014</v>
      </c>
      <c r="D18" s="65">
        <f t="shared" ref="D18:AA18" si="10">SUM(D13:D17)</f>
        <v>1014</v>
      </c>
      <c r="E18" s="65">
        <f t="shared" si="10"/>
        <v>1014</v>
      </c>
      <c r="F18" s="65">
        <f t="shared" si="10"/>
        <v>1014</v>
      </c>
      <c r="G18" s="65">
        <f t="shared" si="10"/>
        <v>1014</v>
      </c>
      <c r="H18" s="65">
        <f t="shared" si="10"/>
        <v>1014</v>
      </c>
      <c r="I18" s="65">
        <f t="shared" si="10"/>
        <v>1014</v>
      </c>
      <c r="J18" s="65">
        <f t="shared" si="10"/>
        <v>1014</v>
      </c>
      <c r="K18" s="65">
        <f t="shared" si="10"/>
        <v>1014</v>
      </c>
      <c r="L18" s="65">
        <f t="shared" si="10"/>
        <v>1014</v>
      </c>
      <c r="M18" s="65">
        <f t="shared" si="10"/>
        <v>1014</v>
      </c>
      <c r="N18" s="65">
        <f t="shared" si="10"/>
        <v>1014</v>
      </c>
      <c r="O18" s="65">
        <f t="shared" si="10"/>
        <v>1014</v>
      </c>
      <c r="P18" s="65">
        <f t="shared" si="10"/>
        <v>1014</v>
      </c>
      <c r="Q18" s="65">
        <f t="shared" si="10"/>
        <v>1014</v>
      </c>
      <c r="R18" s="65">
        <f t="shared" si="10"/>
        <v>1014</v>
      </c>
      <c r="S18" s="65">
        <f t="shared" si="10"/>
        <v>1014</v>
      </c>
      <c r="T18" s="65">
        <f t="shared" si="10"/>
        <v>1014</v>
      </c>
      <c r="U18" s="65">
        <f t="shared" si="10"/>
        <v>1014</v>
      </c>
      <c r="V18" s="65">
        <f t="shared" si="10"/>
        <v>1014</v>
      </c>
      <c r="W18" s="65">
        <f t="shared" si="10"/>
        <v>1014</v>
      </c>
      <c r="X18" s="65">
        <f t="shared" si="10"/>
        <v>1014</v>
      </c>
      <c r="Y18" s="65">
        <f t="shared" si="10"/>
        <v>1014</v>
      </c>
      <c r="Z18" s="65">
        <f t="shared" si="10"/>
        <v>1014</v>
      </c>
      <c r="AA18" s="65">
        <f t="shared" si="10"/>
        <v>1014</v>
      </c>
    </row>
    <row r="19" spans="1:27" ht="15" x14ac:dyDescent="0.25">
      <c r="A19" s="66" t="s">
        <v>116</v>
      </c>
      <c r="B19" s="66" t="s">
        <v>1</v>
      </c>
      <c r="C19" s="67">
        <f t="shared" ref="C19:AA19" si="11">C18+C11</f>
        <v>7288</v>
      </c>
      <c r="D19" s="67">
        <f t="shared" si="11"/>
        <v>8190.9999999999991</v>
      </c>
      <c r="E19" s="67">
        <f t="shared" si="11"/>
        <v>9222.9999999999982</v>
      </c>
      <c r="F19" s="67">
        <f t="shared" si="11"/>
        <v>10404</v>
      </c>
      <c r="G19" s="67">
        <f t="shared" si="11"/>
        <v>10794.999999999998</v>
      </c>
      <c r="H19" s="67">
        <f t="shared" si="11"/>
        <v>11202</v>
      </c>
      <c r="I19" s="67">
        <f t="shared" si="11"/>
        <v>11625.999999999998</v>
      </c>
      <c r="J19" s="67">
        <f t="shared" si="11"/>
        <v>12068</v>
      </c>
      <c r="K19" s="67">
        <f t="shared" si="11"/>
        <v>12527.999999999998</v>
      </c>
      <c r="L19" s="67">
        <f t="shared" si="11"/>
        <v>12960.999999999996</v>
      </c>
      <c r="M19" s="67">
        <f t="shared" si="11"/>
        <v>13457.999999999996</v>
      </c>
      <c r="N19" s="67">
        <f t="shared" si="11"/>
        <v>13975.999999999995</v>
      </c>
      <c r="O19" s="67">
        <f t="shared" si="11"/>
        <v>14515.999999999995</v>
      </c>
      <c r="P19" s="67">
        <f t="shared" si="11"/>
        <v>14861.999999999995</v>
      </c>
      <c r="Q19" s="67">
        <f t="shared" si="11"/>
        <v>15382.999999999996</v>
      </c>
      <c r="R19" s="67">
        <f t="shared" si="11"/>
        <v>15980.999999999996</v>
      </c>
      <c r="S19" s="67">
        <f t="shared" si="11"/>
        <v>16604</v>
      </c>
      <c r="T19" s="67">
        <f t="shared" si="11"/>
        <v>17253</v>
      </c>
      <c r="U19" s="67">
        <f t="shared" si="11"/>
        <v>17928.999999999996</v>
      </c>
      <c r="V19" s="67">
        <f t="shared" si="11"/>
        <v>18633.140649054742</v>
      </c>
      <c r="W19" s="67">
        <f t="shared" si="11"/>
        <v>19366.593391142367</v>
      </c>
      <c r="X19" s="67">
        <f t="shared" si="11"/>
        <v>20130.578435320716</v>
      </c>
      <c r="Y19" s="67">
        <f t="shared" si="11"/>
        <v>20926.366785728798</v>
      </c>
      <c r="Z19" s="67">
        <f t="shared" si="11"/>
        <v>21755.282356093518</v>
      </c>
      <c r="AA19" s="67">
        <f t="shared" si="11"/>
        <v>22381.291969022885</v>
      </c>
    </row>
    <row r="20" spans="1:27" ht="15" x14ac:dyDescent="0.25">
      <c r="A20" s="3" t="s">
        <v>120</v>
      </c>
      <c r="B20" s="5" t="s">
        <v>1</v>
      </c>
      <c r="C20" s="6">
        <f>VLOOKUP($A$2,AR2008_Stats!$B$4:$O$15,AR2008_Stats!K$1,FALSE)</f>
        <v>78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 x14ac:dyDescent="0.25">
      <c r="A21" s="3" t="s">
        <v>121</v>
      </c>
      <c r="B21" s="5" t="s">
        <v>1</v>
      </c>
      <c r="C21" s="6">
        <f>VLOOKUP($A$2,AR2008_Stats!$B$4:$O$15,AR2008_Stats!J$1,FALSE)</f>
        <v>7581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7" ht="15" x14ac:dyDescent="0.25">
      <c r="A22" s="66" t="s">
        <v>119</v>
      </c>
      <c r="B22" s="66" t="s">
        <v>1</v>
      </c>
      <c r="C22" s="67">
        <f>C21+C20</f>
        <v>7659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7" x14ac:dyDescent="0.2">
      <c r="A23" s="3" t="s">
        <v>88</v>
      </c>
    </row>
    <row r="24" spans="1:27" ht="15" x14ac:dyDescent="0.25">
      <c r="A24" s="1" t="s">
        <v>76</v>
      </c>
      <c r="B24" s="5" t="s">
        <v>1</v>
      </c>
      <c r="C24" s="74">
        <f>VLOOKUP($A$2,'[1]Total Existing Capacity'!$A$3:$J$14,9,FALSE)</f>
        <v>14259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7" x14ac:dyDescent="0.2">
      <c r="A25" s="1" t="s">
        <v>89</v>
      </c>
      <c r="B25" s="5"/>
      <c r="C25" s="30">
        <f>(C20+C24)/C11-1</f>
        <v>1.2851450430347464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7" x14ac:dyDescent="0.2">
      <c r="A26" s="1" t="s">
        <v>90</v>
      </c>
      <c r="B26" s="5"/>
      <c r="C26" s="30">
        <f>(C20+C24-C13)/C11-1</f>
        <v>1.1235256614599938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7" x14ac:dyDescent="0.2">
      <c r="A27" s="1" t="s">
        <v>91</v>
      </c>
      <c r="B27" s="5"/>
      <c r="C27" s="30">
        <f>C24/C11-1</f>
        <v>1.2727127829136116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7" x14ac:dyDescent="0.2">
      <c r="A28" s="1" t="s">
        <v>92</v>
      </c>
      <c r="B28" s="5"/>
      <c r="C28" s="30">
        <f>(C24-C13)/C11-1</f>
        <v>1.1110934013388589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7" ht="15" x14ac:dyDescent="0.25">
      <c r="A29" s="1" t="s">
        <v>77</v>
      </c>
      <c r="B29" s="5" t="s">
        <v>1</v>
      </c>
      <c r="C29" s="74">
        <f>VLOOKUP($A$2,'[1]Total Existing Capacity'!$A$3:$J$14,10,FALSE)</f>
        <v>11183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7" x14ac:dyDescent="0.2">
      <c r="A30" s="1" t="s">
        <v>93</v>
      </c>
      <c r="B30" s="5"/>
      <c r="C30" s="30">
        <f>C29/C11-1</f>
        <v>0.7824354478801403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7" x14ac:dyDescent="0.2">
      <c r="A31" s="1" t="s">
        <v>94</v>
      </c>
      <c r="B31" s="5"/>
      <c r="C31" s="30">
        <f>(C29-C13)/C11-1</f>
        <v>0.62081606630538722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7" ht="15" x14ac:dyDescent="0.25">
      <c r="A32" s="1" t="s">
        <v>74</v>
      </c>
      <c r="B32" s="2" t="s">
        <v>10</v>
      </c>
      <c r="C32" s="27">
        <f>IF(B3="AR 2008",VLOOKUP($A$2,AR2008_Stats!$B$4:$O$15,AR2008_Stats!F$1,FALSE),C47)</f>
        <v>939</v>
      </c>
      <c r="D32" s="28">
        <f>D19/(D33*8.76)</f>
        <v>1226.881008778041</v>
      </c>
      <c r="E32" s="28">
        <f t="shared" ref="E32:Z32" si="12">E19/(E33*8.76)</f>
        <v>1380.8097210378849</v>
      </c>
      <c r="F32" s="28">
        <f t="shared" si="12"/>
        <v>1689.6805111821086</v>
      </c>
      <c r="G32" s="28">
        <f t="shared" si="12"/>
        <v>1752.6285655863403</v>
      </c>
      <c r="H32" s="28">
        <f t="shared" si="12"/>
        <v>1819.7202591283865</v>
      </c>
      <c r="I32" s="28">
        <f t="shared" si="12"/>
        <v>1887.6364493026758</v>
      </c>
      <c r="J32" s="28">
        <f t="shared" si="12"/>
        <v>1959.6580423376151</v>
      </c>
      <c r="K32" s="28">
        <f t="shared" si="12"/>
        <v>2029.2443981240224</v>
      </c>
      <c r="L32" s="28">
        <f t="shared" si="12"/>
        <v>2099.2328618063102</v>
      </c>
      <c r="M32" s="28">
        <f t="shared" si="12"/>
        <v>2180.2738669238183</v>
      </c>
      <c r="N32" s="28">
        <f t="shared" si="12"/>
        <v>2264.2802036722719</v>
      </c>
      <c r="O32" s="28">
        <f t="shared" si="12"/>
        <v>2351.2436676047982</v>
      </c>
      <c r="P32" s="28">
        <f t="shared" si="12"/>
        <v>2392.2153379549386</v>
      </c>
      <c r="Q32" s="28">
        <f t="shared" si="12"/>
        <v>2476.2251374486736</v>
      </c>
      <c r="R32" s="28">
        <f t="shared" si="12"/>
        <v>2572.2074564040886</v>
      </c>
      <c r="S32" s="28">
        <f t="shared" si="12"/>
        <v>2672.1896087235409</v>
      </c>
      <c r="T32" s="28">
        <f t="shared" si="12"/>
        <v>2777.2240901533346</v>
      </c>
      <c r="U32" s="28">
        <f t="shared" si="12"/>
        <v>2886.0401502555574</v>
      </c>
      <c r="V32" s="28">
        <f t="shared" si="12"/>
        <v>2999.3860247939588</v>
      </c>
      <c r="W32" s="28">
        <f t="shared" si="12"/>
        <v>3117.4502816950644</v>
      </c>
      <c r="X32" s="28">
        <f t="shared" si="12"/>
        <v>3240.4293386248141</v>
      </c>
      <c r="Y32" s="28">
        <f t="shared" si="12"/>
        <v>3368.527789758919</v>
      </c>
      <c r="Z32" s="28">
        <f t="shared" si="12"/>
        <v>3501.9587461560723</v>
      </c>
    </row>
    <row r="33" spans="1:27" ht="15" x14ac:dyDescent="0.25">
      <c r="A33" s="1" t="s">
        <v>7</v>
      </c>
      <c r="C33" s="14">
        <f>C19/(C32*8.76)</f>
        <v>0.88601008553741722</v>
      </c>
      <c r="D33" s="14">
        <f t="shared" ref="D33:T33" si="13">IF(B3="AR 2008",D49,D50)</f>
        <v>0.76213231390039293</v>
      </c>
      <c r="E33" s="14">
        <f t="shared" si="13"/>
        <v>0.76249020066802653</v>
      </c>
      <c r="F33" s="14">
        <f t="shared" si="13"/>
        <v>0.70289692342241183</v>
      </c>
      <c r="G33" s="14">
        <f t="shared" si="13"/>
        <v>0.70311870995939874</v>
      </c>
      <c r="H33" s="14">
        <f t="shared" si="13"/>
        <v>0.70272731035053593</v>
      </c>
      <c r="I33" s="14">
        <f t="shared" si="13"/>
        <v>0.70308504069306754</v>
      </c>
      <c r="J33" s="14">
        <f t="shared" si="13"/>
        <v>0.70299283906335464</v>
      </c>
      <c r="K33" s="14">
        <f t="shared" si="13"/>
        <v>0.70476330383047492</v>
      </c>
      <c r="L33" s="14">
        <f t="shared" si="13"/>
        <v>0.70481280898611265</v>
      </c>
      <c r="M33" s="14">
        <f t="shared" si="13"/>
        <v>0.70463687758208304</v>
      </c>
      <c r="N33" s="14">
        <f t="shared" si="13"/>
        <v>0.70460969776038274</v>
      </c>
      <c r="O33" s="14">
        <f t="shared" si="13"/>
        <v>0.70476643846055875</v>
      </c>
      <c r="P33" s="14">
        <f t="shared" si="13"/>
        <v>0.70920678232759937</v>
      </c>
      <c r="Q33" s="14">
        <f t="shared" si="13"/>
        <v>0.70916420391395074</v>
      </c>
      <c r="R33" s="14">
        <f t="shared" si="13"/>
        <v>0.70924103106501302</v>
      </c>
      <c r="S33" s="14">
        <f t="shared" si="13"/>
        <v>0.70931859916173923</v>
      </c>
      <c r="T33" s="14">
        <f t="shared" si="13"/>
        <v>0.70916875412688263</v>
      </c>
      <c r="U33" s="14">
        <f>T33</f>
        <v>0.70916875412688263</v>
      </c>
      <c r="V33" s="14">
        <f t="shared" ref="V33:Z33" si="14">U33</f>
        <v>0.70916875412688263</v>
      </c>
      <c r="W33" s="14">
        <f t="shared" si="14"/>
        <v>0.70916875412688263</v>
      </c>
      <c r="X33" s="14">
        <f t="shared" si="14"/>
        <v>0.70916875412688263</v>
      </c>
      <c r="Y33" s="14">
        <f t="shared" si="14"/>
        <v>0.70916875412688263</v>
      </c>
      <c r="Z33" s="14">
        <f t="shared" si="14"/>
        <v>0.70916875412688263</v>
      </c>
    </row>
    <row r="34" spans="1:27" ht="15" x14ac:dyDescent="0.25">
      <c r="A34" s="1" t="s">
        <v>8</v>
      </c>
      <c r="C34" s="15"/>
      <c r="D34" s="15">
        <f t="shared" ref="D34:J34" si="15">D32/C32-1</f>
        <v>0.30658254395957507</v>
      </c>
      <c r="E34" s="15">
        <f t="shared" si="15"/>
        <v>0.1254634403487549</v>
      </c>
      <c r="F34" s="15">
        <f t="shared" si="15"/>
        <v>0.22368816313956796</v>
      </c>
      <c r="G34" s="15">
        <f t="shared" si="15"/>
        <v>3.7254412291346739E-2</v>
      </c>
      <c r="H34" s="15">
        <f t="shared" si="15"/>
        <v>3.828061168203134E-2</v>
      </c>
      <c r="I34" s="15">
        <f t="shared" si="15"/>
        <v>3.7322324590055356E-2</v>
      </c>
      <c r="J34" s="15">
        <f t="shared" si="15"/>
        <v>3.8154377163857722E-2</v>
      </c>
    </row>
    <row r="35" spans="1:27" ht="15" x14ac:dyDescent="0.25">
      <c r="A35" s="1" t="s">
        <v>75</v>
      </c>
      <c r="B35" s="2" t="s">
        <v>10</v>
      </c>
      <c r="C35" s="35">
        <f>IF(B3="AR 2008",C52,C53)</f>
        <v>2333</v>
      </c>
      <c r="D35" s="15"/>
      <c r="E35" s="15"/>
      <c r="F35" s="15"/>
      <c r="G35" s="15"/>
      <c r="H35" s="15"/>
      <c r="I35" s="15"/>
      <c r="J35" s="15"/>
    </row>
    <row r="36" spans="1:27" s="1" customFormat="1" x14ac:dyDescent="0.2">
      <c r="A36" s="1" t="s">
        <v>81</v>
      </c>
      <c r="B36" s="1" t="s">
        <v>10</v>
      </c>
      <c r="C36" s="72">
        <f>MAX(0,C32-C35)</f>
        <v>0</v>
      </c>
      <c r="D36" s="77">
        <f>C20/(C33*8.76)</f>
        <v>10.04967069154775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1:27" ht="15" x14ac:dyDescent="0.25">
      <c r="A37" s="1" t="s">
        <v>79</v>
      </c>
      <c r="C37" s="15">
        <f>C35/C32-1</f>
        <v>1.4845580404685834</v>
      </c>
      <c r="D37" s="34">
        <f>C37</f>
        <v>1.4845580404685834</v>
      </c>
      <c r="E37" s="34">
        <f t="shared" ref="E37:AA37" si="16">D37</f>
        <v>1.4845580404685834</v>
      </c>
      <c r="F37" s="34">
        <f t="shared" si="16"/>
        <v>1.4845580404685834</v>
      </c>
      <c r="G37" s="34">
        <f t="shared" si="16"/>
        <v>1.4845580404685834</v>
      </c>
      <c r="H37" s="34">
        <f t="shared" si="16"/>
        <v>1.4845580404685834</v>
      </c>
      <c r="I37" s="34">
        <f t="shared" si="16"/>
        <v>1.4845580404685834</v>
      </c>
      <c r="J37" s="34">
        <f t="shared" si="16"/>
        <v>1.4845580404685834</v>
      </c>
      <c r="K37" s="34">
        <f t="shared" si="16"/>
        <v>1.4845580404685834</v>
      </c>
      <c r="L37" s="34">
        <f t="shared" si="16"/>
        <v>1.4845580404685834</v>
      </c>
      <c r="M37" s="34">
        <f t="shared" si="16"/>
        <v>1.4845580404685834</v>
      </c>
      <c r="N37" s="34">
        <f t="shared" si="16"/>
        <v>1.4845580404685834</v>
      </c>
      <c r="O37" s="34">
        <f t="shared" si="16"/>
        <v>1.4845580404685834</v>
      </c>
      <c r="P37" s="34">
        <f t="shared" si="16"/>
        <v>1.4845580404685834</v>
      </c>
      <c r="Q37" s="34">
        <f t="shared" si="16"/>
        <v>1.4845580404685834</v>
      </c>
      <c r="R37" s="34">
        <f t="shared" si="16"/>
        <v>1.4845580404685834</v>
      </c>
      <c r="S37" s="34">
        <f t="shared" si="16"/>
        <v>1.4845580404685834</v>
      </c>
      <c r="T37" s="34">
        <f t="shared" si="16"/>
        <v>1.4845580404685834</v>
      </c>
      <c r="U37" s="34">
        <f t="shared" si="16"/>
        <v>1.4845580404685834</v>
      </c>
      <c r="V37" s="34">
        <f t="shared" si="16"/>
        <v>1.4845580404685834</v>
      </c>
      <c r="W37" s="34">
        <f t="shared" si="16"/>
        <v>1.4845580404685834</v>
      </c>
      <c r="X37" s="34">
        <f t="shared" si="16"/>
        <v>1.4845580404685834</v>
      </c>
      <c r="Y37" s="34">
        <f t="shared" si="16"/>
        <v>1.4845580404685834</v>
      </c>
      <c r="Z37" s="34">
        <f t="shared" si="16"/>
        <v>1.4845580404685834</v>
      </c>
      <c r="AA37" s="34">
        <f t="shared" si="16"/>
        <v>1.4845580404685834</v>
      </c>
    </row>
    <row r="38" spans="1:27" ht="15" x14ac:dyDescent="0.25">
      <c r="A38" s="1"/>
      <c r="C38" s="15"/>
      <c r="D38" s="15"/>
      <c r="E38" s="15"/>
      <c r="F38" s="15"/>
      <c r="G38" s="15"/>
      <c r="H38" s="15"/>
      <c r="I38" s="15"/>
      <c r="J38" s="15"/>
    </row>
    <row r="39" spans="1:27" ht="15" x14ac:dyDescent="0.25">
      <c r="A39" s="3" t="s">
        <v>78</v>
      </c>
      <c r="C39" s="15"/>
      <c r="D39" s="36"/>
      <c r="E39" s="36"/>
      <c r="F39" s="36"/>
      <c r="G39" s="36"/>
      <c r="H39" s="36"/>
      <c r="I39" s="35"/>
      <c r="J39" s="35"/>
    </row>
    <row r="40" spans="1:27" ht="15" x14ac:dyDescent="0.25">
      <c r="A40" s="1" t="s">
        <v>69</v>
      </c>
      <c r="B40" s="1" t="s">
        <v>1</v>
      </c>
      <c r="D40" s="23">
        <f>SUMIF(AR2008_EnergyProj!$A$3:$A$14,DRC!$A$2,AR2008_EnergyProj!B$3:B$14)</f>
        <v>5588</v>
      </c>
      <c r="E40" s="23">
        <f>SUMIF(AR2008_EnergyProj!$A$3:$A$14,DRC!$A$2,AR2008_EnergyProj!C$3:C$14)</f>
        <v>5781</v>
      </c>
      <c r="F40" s="23">
        <f>SUMIF(AR2008_EnergyProj!$A$3:$A$14,DRC!$A$2,AR2008_EnergyProj!D$3:D$14)</f>
        <v>5982</v>
      </c>
      <c r="G40" s="23">
        <f>SUMIF(AR2008_EnergyProj!$A$3:$A$14,DRC!$A$2,AR2008_EnergyProj!E$3:E$14)</f>
        <v>6189</v>
      </c>
      <c r="H40" s="23">
        <f>SUMIF(AR2008_EnergyProj!$A$3:$A$14,DRC!$A$2,AR2008_EnergyProj!F$3:F$14)</f>
        <v>6404</v>
      </c>
      <c r="I40" s="23">
        <f>SUMIF(AR2008_EnergyProj!$A$3:$A$14,DRC!$A$2,AR2008_EnergyProj!G$3:G$14)</f>
        <v>6625</v>
      </c>
      <c r="J40" s="23">
        <f>SUMIF(AR2008_EnergyProj!$A$3:$A$14,DRC!$A$2,AR2008_EnergyProj!H$3:H$14)</f>
        <v>6855</v>
      </c>
      <c r="K40" s="23">
        <f>SUMIF(AR2008_EnergyProj!$A$3:$A$14,DRC!$A$2,AR2008_EnergyProj!I$3:I$14)</f>
        <v>7093</v>
      </c>
      <c r="L40" s="23">
        <f>SUMIF(AR2008_EnergyProj!$A$3:$A$14,DRC!$A$2,AR2008_EnergyProj!J$3:J$14)</f>
        <v>7338</v>
      </c>
      <c r="M40" s="23">
        <f>SUMIF(AR2008_EnergyProj!$A$3:$A$14,DRC!$A$2,AR2008_EnergyProj!K$3:K$14)</f>
        <v>7593</v>
      </c>
      <c r="N40" s="23">
        <f>SUMIF(AR2008_EnergyProj!$A$3:$A$14,DRC!$A$2,AR2008_EnergyProj!L$3:L$14)</f>
        <v>7856</v>
      </c>
      <c r="O40" s="23">
        <f>SUMIF(AR2008_EnergyProj!$A$3:$A$14,DRC!$A$2,AR2008_EnergyProj!M$3:M$14)</f>
        <v>8128</v>
      </c>
      <c r="P40" s="23">
        <f>SUMIF(AR2008_EnergyProj!$A$3:$A$14,DRC!$A$2,AR2008_EnergyProj!N$3:N$14)</f>
        <v>8409</v>
      </c>
      <c r="Q40" s="23">
        <f>SUMIF(AR2008_EnergyProj!$A$3:$A$14,DRC!$A$2,AR2008_EnergyProj!O$3:O$14)</f>
        <v>8661</v>
      </c>
      <c r="R40" s="23">
        <f>SUMIF(AR2008_EnergyProj!$A$3:$A$14,DRC!$A$2,AR2008_EnergyProj!P$3:P$14)</f>
        <v>8921</v>
      </c>
      <c r="S40" s="23">
        <f>SUMIF(AR2008_EnergyProj!$A$3:$A$14,DRC!$A$2,AR2008_EnergyProj!Q$3:Q$14)</f>
        <v>9189</v>
      </c>
      <c r="T40" s="23">
        <f>SUMIF(AR2008_EnergyProj!$A$3:$A$14,DRC!$A$2,AR2008_EnergyProj!R$3:R$14)</f>
        <v>9464</v>
      </c>
    </row>
    <row r="41" spans="1:27" ht="15" x14ac:dyDescent="0.25">
      <c r="A41" s="1" t="s">
        <v>11</v>
      </c>
      <c r="B41" s="1"/>
      <c r="D41" s="26">
        <f>VLOOKUP($A$2,AR2008_Stats!$B$4:$O$15,AR2008_Stats!I$1,FALSE)/100</f>
        <v>7.0000000000000007E-2</v>
      </c>
      <c r="E41" s="18">
        <f>E40/D40-1</f>
        <v>3.453829634931993E-2</v>
      </c>
      <c r="F41" s="18">
        <f t="shared" ref="F41:T41" si="17">F40/E40-1</f>
        <v>3.4769071094966186E-2</v>
      </c>
      <c r="G41" s="18">
        <f t="shared" si="17"/>
        <v>3.46038114343028E-2</v>
      </c>
      <c r="H41" s="18">
        <f t="shared" si="17"/>
        <v>3.473905315883008E-2</v>
      </c>
      <c r="I41" s="18">
        <f t="shared" si="17"/>
        <v>3.4509681449094387E-2</v>
      </c>
      <c r="J41" s="18">
        <f t="shared" si="17"/>
        <v>3.4716981132075553E-2</v>
      </c>
      <c r="K41" s="18">
        <f t="shared" si="17"/>
        <v>3.4719183078045113E-2</v>
      </c>
      <c r="L41" s="18">
        <f t="shared" si="17"/>
        <v>3.4541096856055331E-2</v>
      </c>
      <c r="M41" s="18">
        <f t="shared" si="17"/>
        <v>3.4750613246116169E-2</v>
      </c>
      <c r="N41" s="18">
        <f t="shared" si="17"/>
        <v>3.4637165810615045E-2</v>
      </c>
      <c r="O41" s="18">
        <f t="shared" si="17"/>
        <v>3.4623217922606919E-2</v>
      </c>
      <c r="P41" s="18">
        <f t="shared" si="17"/>
        <v>3.4571850393700698E-2</v>
      </c>
      <c r="Q41" s="18">
        <f t="shared" si="17"/>
        <v>2.9967891544773417E-2</v>
      </c>
      <c r="R41" s="18">
        <f t="shared" si="17"/>
        <v>3.0019628218450611E-2</v>
      </c>
      <c r="S41" s="18">
        <f t="shared" si="17"/>
        <v>3.004147517094502E-2</v>
      </c>
      <c r="T41" s="18">
        <f t="shared" si="17"/>
        <v>2.9927086734138575E-2</v>
      </c>
      <c r="U41" s="4">
        <f>T41</f>
        <v>2.9927086734138575E-2</v>
      </c>
    </row>
    <row r="42" spans="1:27" ht="15" x14ac:dyDescent="0.25">
      <c r="A42" s="1" t="s">
        <v>40</v>
      </c>
      <c r="B42" s="1" t="s">
        <v>1</v>
      </c>
      <c r="C42" s="23">
        <f>SUMIF(PoolPlan_EnergyProj!$B$60:$B$71,DRC!$A$2,PoolPlan_EnergyProj!D$60:D$71)</f>
        <v>6274</v>
      </c>
      <c r="D42" s="23">
        <f>SUMIF(PoolPlan_EnergyProj!$B$60:$B$71,DRC!$A$2,PoolPlan_EnergyProj!E$60:E$71)</f>
        <v>7177</v>
      </c>
      <c r="E42" s="23">
        <f>SUMIF(PoolPlan_EnergyProj!$B$60:$B$71,DRC!$A$2,PoolPlan_EnergyProj!F$60:F$71)</f>
        <v>8209</v>
      </c>
      <c r="F42" s="23">
        <f>SUMIF(PoolPlan_EnergyProj!$B$60:$B$71,DRC!$A$2,PoolPlan_EnergyProj!G$60:G$71)</f>
        <v>9390</v>
      </c>
      <c r="G42" s="23">
        <f>SUMIF(PoolPlan_EnergyProj!$B$60:$B$71,DRC!$A$2,PoolPlan_EnergyProj!H$60:H$71)</f>
        <v>9781</v>
      </c>
      <c r="H42" s="23">
        <f>SUMIF(PoolPlan_EnergyProj!$B$60:$B$71,DRC!$A$2,PoolPlan_EnergyProj!I$60:I$71)</f>
        <v>10188</v>
      </c>
      <c r="I42" s="23">
        <f>SUMIF(PoolPlan_EnergyProj!$B$60:$B$71,DRC!$A$2,PoolPlan_EnergyProj!J$60:J$71)</f>
        <v>10612</v>
      </c>
      <c r="J42" s="23">
        <f>SUMIF(PoolPlan_EnergyProj!$B$60:$B$71,DRC!$A$2,PoolPlan_EnergyProj!K$60:K$71)</f>
        <v>11054</v>
      </c>
      <c r="K42" s="23">
        <f>SUMIF(PoolPlan_EnergyProj!$B$60:$B$71,DRC!$A$2,PoolPlan_EnergyProj!L$60:L$71)</f>
        <v>11514</v>
      </c>
      <c r="L42" s="23">
        <f>SUMIF(PoolPlan_EnergyProj!$B$60:$B$71,DRC!$A$2,PoolPlan_EnergyProj!M$60:M$71)</f>
        <v>11947</v>
      </c>
      <c r="M42" s="23">
        <f>SUMIF(PoolPlan_EnergyProj!$B$60:$B$71,DRC!$A$2,PoolPlan_EnergyProj!N$60:N$71)</f>
        <v>12444</v>
      </c>
      <c r="N42" s="23">
        <f>SUMIF(PoolPlan_EnergyProj!$B$60:$B$71,DRC!$A$2,PoolPlan_EnergyProj!O$60:O$71)</f>
        <v>12962</v>
      </c>
      <c r="O42" s="23">
        <f>SUMIF(PoolPlan_EnergyProj!$B$60:$B$71,DRC!$A$2,PoolPlan_EnergyProj!P$60:P$71)</f>
        <v>13502</v>
      </c>
      <c r="P42" s="23">
        <f>SUMIF(PoolPlan_EnergyProj!$B$60:$B$71,DRC!$A$2,PoolPlan_EnergyProj!Q$60:Q$71)</f>
        <v>13848</v>
      </c>
      <c r="Q42" s="23">
        <f>SUMIF(PoolPlan_EnergyProj!$B$60:$B$71,DRC!$A$2,PoolPlan_EnergyProj!R$60:R$71)</f>
        <v>14369</v>
      </c>
      <c r="R42" s="23">
        <f>SUMIF(PoolPlan_EnergyProj!$B$60:$B$71,DRC!$A$2,PoolPlan_EnergyProj!S$60:S$71)</f>
        <v>14967</v>
      </c>
      <c r="S42" s="23">
        <f>SUMIF(PoolPlan_EnergyProj!$B$60:$B$71,DRC!$A$2,PoolPlan_EnergyProj!T$60:T$71)</f>
        <v>15590</v>
      </c>
      <c r="T42" s="23">
        <f>SUMIF(PoolPlan_EnergyProj!$B$60:$B$71,DRC!$A$2,PoolPlan_EnergyProj!U$60:U$71)</f>
        <v>16239</v>
      </c>
      <c r="U42" s="23">
        <f>SUMIF(PoolPlan_EnergyProj!$B$60:$B$71,DRC!$A$2,PoolPlan_EnergyProj!V$60:V$71)</f>
        <v>16915</v>
      </c>
      <c r="V42" s="23"/>
    </row>
    <row r="43" spans="1:27" x14ac:dyDescent="0.2">
      <c r="A43" s="1" t="s">
        <v>11</v>
      </c>
      <c r="B43" s="1"/>
      <c r="C43" s="16"/>
      <c r="D43" s="18">
        <f>D42/C42-1</f>
        <v>0.14392731909467638</v>
      </c>
      <c r="E43" s="18">
        <f t="shared" ref="E43:U43" si="18">E42/D42-1</f>
        <v>0.14379267103246485</v>
      </c>
      <c r="F43" s="18">
        <f t="shared" si="18"/>
        <v>0.14386648800097457</v>
      </c>
      <c r="G43" s="18">
        <f t="shared" si="18"/>
        <v>4.1640042598509064E-2</v>
      </c>
      <c r="H43" s="18">
        <f t="shared" si="18"/>
        <v>4.1611287189448953E-2</v>
      </c>
      <c r="I43" s="18">
        <f t="shared" si="18"/>
        <v>4.1617589320769532E-2</v>
      </c>
      <c r="J43" s="18">
        <f t="shared" si="18"/>
        <v>4.1650961176027179E-2</v>
      </c>
      <c r="K43" s="18">
        <f t="shared" si="18"/>
        <v>4.1613895422471403E-2</v>
      </c>
      <c r="L43" s="18">
        <f t="shared" si="18"/>
        <v>3.7606392218169082E-2</v>
      </c>
      <c r="M43" s="18">
        <f t="shared" si="18"/>
        <v>4.160040177450397E-2</v>
      </c>
      <c r="N43" s="18">
        <f t="shared" si="18"/>
        <v>4.1626486660237827E-2</v>
      </c>
      <c r="O43" s="18">
        <f t="shared" si="18"/>
        <v>4.1660237617651585E-2</v>
      </c>
      <c r="P43" s="18">
        <f t="shared" si="18"/>
        <v>2.5625833209894866E-2</v>
      </c>
      <c r="Q43" s="18">
        <f t="shared" si="18"/>
        <v>3.7622761409589867E-2</v>
      </c>
      <c r="R43" s="18">
        <f t="shared" si="18"/>
        <v>4.1617370728652014E-2</v>
      </c>
      <c r="S43" s="18">
        <f t="shared" si="18"/>
        <v>4.1624908131222105E-2</v>
      </c>
      <c r="T43" s="18">
        <f t="shared" si="18"/>
        <v>4.1629249518922329E-2</v>
      </c>
      <c r="U43" s="18">
        <f t="shared" si="18"/>
        <v>4.1628179075066107E-2</v>
      </c>
    </row>
    <row r="44" spans="1:27" x14ac:dyDescent="0.2">
      <c r="A44" s="1"/>
      <c r="B44" s="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7" ht="15" x14ac:dyDescent="0.25">
      <c r="A45" s="1" t="s">
        <v>9</v>
      </c>
      <c r="B45" s="1" t="s">
        <v>10</v>
      </c>
      <c r="C45"/>
      <c r="D45">
        <f>SUMIF(AR2008_PeakProj!$A$3:$A$14,DRC!$A$2,AR2008_PeakProj!B$3:B$14)</f>
        <v>1179</v>
      </c>
      <c r="E45">
        <f>SUMIF(AR2008_PeakProj!$A$3:$A$14,DRC!$A$2,AR2008_PeakProj!C$3:C$14)</f>
        <v>1220</v>
      </c>
      <c r="F45">
        <f>SUMIF(AR2008_PeakProj!$A$3:$A$14,DRC!$A$2,AR2008_PeakProj!D$3:D$14)</f>
        <v>1262</v>
      </c>
      <c r="G45">
        <f>SUMIF(AR2008_PeakProj!$A$3:$A$14,DRC!$A$2,AR2008_PeakProj!E$3:E$14)</f>
        <v>1306</v>
      </c>
      <c r="H45">
        <f>SUMIF(AR2008_PeakProj!$A$3:$A$14,DRC!$A$2,AR2008_PeakProj!F$3:F$14)</f>
        <v>1351</v>
      </c>
      <c r="I45">
        <f>SUMIF(AR2008_PeakProj!$A$3:$A$14,DRC!$A$2,AR2008_PeakProj!G$3:G$14)</f>
        <v>1398</v>
      </c>
      <c r="J45">
        <f>SUMIF(AR2008_PeakProj!$A$3:$A$14,DRC!$A$2,AR2008_PeakProj!H$3:H$14)</f>
        <v>1446</v>
      </c>
      <c r="K45">
        <f>SUMIF(AR2008_PeakProj!$A$3:$A$14,DRC!$A$2,AR2008_PeakProj!I$3:I$14)</f>
        <v>1496</v>
      </c>
      <c r="L45">
        <f>SUMIF(AR2008_PeakProj!$A$3:$A$14,DRC!$A$2,AR2008_PeakProj!J$3:J$14)</f>
        <v>1548</v>
      </c>
      <c r="M45">
        <f>SUMIF(AR2008_PeakProj!$A$3:$A$14,DRC!$A$2,AR2008_PeakProj!K$3:K$14)</f>
        <v>1602</v>
      </c>
      <c r="N45">
        <f>SUMIF(AR2008_PeakProj!$A$3:$A$14,DRC!$A$2,AR2008_PeakProj!L$3:L$14)</f>
        <v>1657</v>
      </c>
      <c r="O45">
        <f>SUMIF(AR2008_PeakProj!$A$3:$A$14,DRC!$A$2,AR2008_PeakProj!M$3:M$14)</f>
        <v>1714</v>
      </c>
      <c r="P45">
        <f>SUMIF(AR2008_PeakProj!$A$3:$A$14,DRC!$A$2,AR2008_PeakProj!N$3:N$14)</f>
        <v>1772</v>
      </c>
      <c r="Q45">
        <f>SUMIF(AR2008_PeakProj!$A$3:$A$14,DRC!$A$2,AR2008_PeakProj!O$3:O$14)</f>
        <v>1825</v>
      </c>
      <c r="R45">
        <f>SUMIF(AR2008_PeakProj!$A$3:$A$14,DRC!$A$2,AR2008_PeakProj!P$3:P$14)</f>
        <v>1880</v>
      </c>
      <c r="S45">
        <f>SUMIF(AR2008_PeakProj!$A$3:$A$14,DRC!$A$2,AR2008_PeakProj!Q$3:Q$14)</f>
        <v>1936</v>
      </c>
      <c r="T45">
        <f>SUMIF(AR2008_PeakProj!$A$3:$A$14,DRC!$A$2,AR2008_PeakProj!R$3:R$14)</f>
        <v>1994</v>
      </c>
      <c r="U45">
        <f>SUMIF(AR2008_PeakProj!$A$3:$A$14,DRC!$A$2,AR2008_PeakProj!S$3:S$14)</f>
        <v>2054</v>
      </c>
    </row>
    <row r="46" spans="1:27" x14ac:dyDescent="0.2">
      <c r="A46" s="1" t="s">
        <v>11</v>
      </c>
      <c r="B46" s="1" t="s">
        <v>12</v>
      </c>
      <c r="E46" s="18">
        <f>E45/D45-1</f>
        <v>3.4775233248515613E-2</v>
      </c>
      <c r="F46" s="18">
        <f t="shared" ref="F46:U46" si="19">F45/E45-1</f>
        <v>3.4426229508196737E-2</v>
      </c>
      <c r="G46" s="18">
        <f t="shared" si="19"/>
        <v>3.4865293185419866E-2</v>
      </c>
      <c r="H46" s="18">
        <f t="shared" si="19"/>
        <v>3.4456355283307705E-2</v>
      </c>
      <c r="I46" s="18">
        <f t="shared" si="19"/>
        <v>3.4789045151739417E-2</v>
      </c>
      <c r="J46" s="18">
        <f t="shared" si="19"/>
        <v>3.4334763948497882E-2</v>
      </c>
      <c r="K46" s="18">
        <f t="shared" si="19"/>
        <v>3.4578146611341731E-2</v>
      </c>
      <c r="L46" s="18">
        <f t="shared" si="19"/>
        <v>3.475935828876997E-2</v>
      </c>
      <c r="M46" s="18">
        <f t="shared" si="19"/>
        <v>3.488372093023262E-2</v>
      </c>
      <c r="N46" s="18">
        <f t="shared" si="19"/>
        <v>3.433208489388262E-2</v>
      </c>
      <c r="O46" s="18">
        <f t="shared" si="19"/>
        <v>3.4399517199758645E-2</v>
      </c>
      <c r="P46" s="18">
        <f t="shared" si="19"/>
        <v>3.3838973162193753E-2</v>
      </c>
      <c r="Q46" s="18">
        <f t="shared" si="19"/>
        <v>2.990970654627545E-2</v>
      </c>
      <c r="R46" s="18">
        <f t="shared" si="19"/>
        <v>3.013698630136985E-2</v>
      </c>
      <c r="S46" s="18">
        <f t="shared" si="19"/>
        <v>2.9787234042553123E-2</v>
      </c>
      <c r="T46" s="18">
        <f t="shared" si="19"/>
        <v>2.9958677685950397E-2</v>
      </c>
      <c r="U46" s="18">
        <f t="shared" si="19"/>
        <v>3.0090270812437314E-2</v>
      </c>
    </row>
    <row r="47" spans="1:27" ht="15" x14ac:dyDescent="0.25">
      <c r="A47" s="1" t="s">
        <v>39</v>
      </c>
      <c r="B47" s="1" t="s">
        <v>10</v>
      </c>
      <c r="C47">
        <f>SUMIF(PoolPlan_PeakProj!$A$25:$A$36,DRC!$A$2,PoolPlan_PeakProj!C$25:C$36)</f>
        <v>939</v>
      </c>
      <c r="D47">
        <f>SUMIF(PoolPlan_PeakProj!$A$25:$A$36,DRC!$A$2,PoolPlan_PeakProj!D$25:D$36)</f>
        <v>1075</v>
      </c>
      <c r="E47">
        <f>SUMIF(PoolPlan_PeakProj!$A$25:$A$36,DRC!$A$2,PoolPlan_PeakProj!E$25:E$36)</f>
        <v>1229</v>
      </c>
      <c r="F47">
        <f>SUMIF(PoolPlan_PeakProj!$A$25:$A$36,DRC!$A$2,PoolPlan_PeakProj!F$25:F$36)</f>
        <v>1525</v>
      </c>
      <c r="G47">
        <f>SUMIF(PoolPlan_PeakProj!$A$25:$A$36,DRC!$A$2,PoolPlan_PeakProj!G$25:G$36)</f>
        <v>1588</v>
      </c>
      <c r="H47">
        <f>SUMIF(PoolPlan_PeakProj!$A$25:$A$36,DRC!$A$2,PoolPlan_PeakProj!H$25:H$36)</f>
        <v>1655</v>
      </c>
      <c r="I47">
        <f>SUMIF(PoolPlan_PeakProj!$A$25:$A$36,DRC!$A$2,PoolPlan_PeakProj!I$25:I$36)</f>
        <v>1723</v>
      </c>
      <c r="J47">
        <f>SUMIF(PoolPlan_PeakProj!$A$25:$A$36,DRC!$A$2,PoolPlan_PeakProj!J$25:J$36)</f>
        <v>1795</v>
      </c>
      <c r="K47">
        <f>SUMIF(PoolPlan_PeakProj!$A$25:$A$36,DRC!$A$2,PoolPlan_PeakProj!K$25:K$36)</f>
        <v>1865</v>
      </c>
      <c r="L47">
        <f>SUMIF(PoolPlan_PeakProj!$A$25:$A$36,DRC!$A$2,PoolPlan_PeakProj!L$25:L$36)</f>
        <v>1935</v>
      </c>
      <c r="M47">
        <f>SUMIF(PoolPlan_PeakProj!$A$25:$A$36,DRC!$A$2,PoolPlan_PeakProj!M$25:M$36)</f>
        <v>2016</v>
      </c>
      <c r="N47">
        <f>SUMIF(PoolPlan_PeakProj!$A$25:$A$36,DRC!$A$2,PoolPlan_PeakProj!N$25:N$36)</f>
        <v>2100</v>
      </c>
      <c r="O47">
        <f>SUMIF(PoolPlan_PeakProj!$A$25:$A$36,DRC!$A$2,PoolPlan_PeakProj!O$25:O$36)</f>
        <v>2187</v>
      </c>
      <c r="P47">
        <f>SUMIF(PoolPlan_PeakProj!$A$25:$A$36,DRC!$A$2,PoolPlan_PeakProj!P$25:P$36)</f>
        <v>2229</v>
      </c>
      <c r="Q47">
        <f>SUMIF(PoolPlan_PeakProj!$A$25:$A$36,DRC!$A$2,PoolPlan_PeakProj!Q$25:Q$36)</f>
        <v>2313</v>
      </c>
      <c r="R47">
        <f>SUMIF(PoolPlan_PeakProj!$A$25:$A$36,DRC!$A$2,PoolPlan_PeakProj!R$25:R$36)</f>
        <v>2409</v>
      </c>
      <c r="S47">
        <f>SUMIF(PoolPlan_PeakProj!$A$25:$A$36,DRC!$A$2,PoolPlan_PeakProj!S$25:S$36)</f>
        <v>2509</v>
      </c>
      <c r="T47">
        <f>SUMIF(PoolPlan_PeakProj!$A$25:$A$36,DRC!$A$2,PoolPlan_PeakProj!T$25:T$36)</f>
        <v>2614</v>
      </c>
      <c r="U47">
        <f>SUMIF(PoolPlan_PeakProj!$A$25:$A$36,DRC!$A$2,PoolPlan_PeakProj!U$25:U$36)</f>
        <v>2723</v>
      </c>
    </row>
    <row r="48" spans="1:27" x14ac:dyDescent="0.2">
      <c r="A48" s="1" t="s">
        <v>11</v>
      </c>
      <c r="B48" s="1"/>
      <c r="D48" s="18">
        <f>D47/C47-1</f>
        <v>0.14483493077742282</v>
      </c>
      <c r="E48" s="18">
        <f t="shared" ref="E48:U48" si="20">E47/D47-1</f>
        <v>0.1432558139534883</v>
      </c>
      <c r="F48" s="18">
        <f t="shared" si="20"/>
        <v>0.24084621643612691</v>
      </c>
      <c r="G48" s="18">
        <f t="shared" si="20"/>
        <v>4.131147540983604E-2</v>
      </c>
      <c r="H48" s="18">
        <f t="shared" si="20"/>
        <v>4.2191435768262009E-2</v>
      </c>
      <c r="I48" s="18">
        <f t="shared" si="20"/>
        <v>4.1087613293051328E-2</v>
      </c>
      <c r="J48" s="18">
        <f t="shared" si="20"/>
        <v>4.1787579802669672E-2</v>
      </c>
      <c r="K48" s="18">
        <f t="shared" si="20"/>
        <v>3.8997214484679743E-2</v>
      </c>
      <c r="L48" s="18">
        <f t="shared" si="20"/>
        <v>3.7533512064343189E-2</v>
      </c>
      <c r="M48" s="18">
        <f t="shared" si="20"/>
        <v>4.1860465116279055E-2</v>
      </c>
      <c r="N48" s="18">
        <f t="shared" si="20"/>
        <v>4.1666666666666741E-2</v>
      </c>
      <c r="O48" s="18">
        <f t="shared" si="20"/>
        <v>4.142857142857137E-2</v>
      </c>
      <c r="P48" s="18">
        <f t="shared" si="20"/>
        <v>1.9204389574760006E-2</v>
      </c>
      <c r="Q48" s="18">
        <f t="shared" si="20"/>
        <v>3.7685060565275874E-2</v>
      </c>
      <c r="R48" s="18">
        <f t="shared" si="20"/>
        <v>4.1504539559014342E-2</v>
      </c>
      <c r="S48" s="18">
        <f t="shared" si="20"/>
        <v>4.1511000415110022E-2</v>
      </c>
      <c r="T48" s="18">
        <f t="shared" si="20"/>
        <v>4.184934236747706E-2</v>
      </c>
      <c r="U48" s="18">
        <f t="shared" si="20"/>
        <v>4.169854628921188E-2</v>
      </c>
    </row>
    <row r="49" spans="1:20" x14ac:dyDescent="0.2">
      <c r="A49" s="1" t="s">
        <v>70</v>
      </c>
      <c r="B49" s="1" t="s">
        <v>12</v>
      </c>
      <c r="D49" s="18">
        <f t="shared" ref="D49:T49" si="21">D40/(D45*8.76)</f>
        <v>0.54105135146649319</v>
      </c>
      <c r="E49" s="18">
        <f t="shared" si="21"/>
        <v>0.54092746463058616</v>
      </c>
      <c r="F49" s="18">
        <f t="shared" si="21"/>
        <v>0.54110674510995815</v>
      </c>
      <c r="G49" s="18">
        <f t="shared" si="21"/>
        <v>0.54097002244645365</v>
      </c>
      <c r="H49" s="18">
        <f t="shared" si="21"/>
        <v>0.54111785959326597</v>
      </c>
      <c r="I49" s="18">
        <f t="shared" si="21"/>
        <v>0.54097177311358036</v>
      </c>
      <c r="J49" s="18">
        <f t="shared" si="21"/>
        <v>0.54117167812955913</v>
      </c>
      <c r="K49" s="18">
        <f t="shared" si="21"/>
        <v>0.54124545210363106</v>
      </c>
      <c r="L49" s="18">
        <f t="shared" si="21"/>
        <v>0.54113128738805705</v>
      </c>
      <c r="M49" s="18">
        <f t="shared" si="21"/>
        <v>0.54106168659039211</v>
      </c>
      <c r="N49" s="18">
        <f t="shared" si="21"/>
        <v>0.54122127517684759</v>
      </c>
      <c r="O49" s="18">
        <f t="shared" si="21"/>
        <v>0.54133832046589203</v>
      </c>
      <c r="P49" s="18">
        <f t="shared" si="21"/>
        <v>0.54172206932805589</v>
      </c>
      <c r="Q49" s="18">
        <f t="shared" si="21"/>
        <v>0.5417526740476637</v>
      </c>
      <c r="R49" s="18">
        <f t="shared" si="21"/>
        <v>0.54169095501797337</v>
      </c>
      <c r="S49" s="18">
        <f t="shared" si="21"/>
        <v>0.54182469149779233</v>
      </c>
      <c r="T49" s="18">
        <f t="shared" si="21"/>
        <v>0.54180807261968555</v>
      </c>
    </row>
    <row r="50" spans="1:20" x14ac:dyDescent="0.2">
      <c r="A50" s="1" t="s">
        <v>41</v>
      </c>
      <c r="C50" s="18">
        <f t="shared" ref="C50:T50" si="22">C42/(C47*8.76)</f>
        <v>0.76273700283503776</v>
      </c>
      <c r="D50" s="18">
        <f t="shared" si="22"/>
        <v>0.76213231390039293</v>
      </c>
      <c r="E50" s="18">
        <f t="shared" si="22"/>
        <v>0.76249020066802653</v>
      </c>
      <c r="F50" s="18">
        <f t="shared" si="22"/>
        <v>0.70289692342241183</v>
      </c>
      <c r="G50" s="18">
        <f t="shared" si="22"/>
        <v>0.70311870995939874</v>
      </c>
      <c r="H50" s="18">
        <f t="shared" si="22"/>
        <v>0.70272731035053593</v>
      </c>
      <c r="I50" s="18">
        <f t="shared" si="22"/>
        <v>0.70308504069306754</v>
      </c>
      <c r="J50" s="18">
        <f t="shared" si="22"/>
        <v>0.70299283906335464</v>
      </c>
      <c r="K50" s="18">
        <f t="shared" si="22"/>
        <v>0.70476330383047492</v>
      </c>
      <c r="L50" s="18">
        <f t="shared" si="22"/>
        <v>0.70481280898611265</v>
      </c>
      <c r="M50" s="18">
        <f t="shared" si="22"/>
        <v>0.70463687758208304</v>
      </c>
      <c r="N50" s="18">
        <f t="shared" si="22"/>
        <v>0.70460969776038274</v>
      </c>
      <c r="O50" s="18">
        <f t="shared" si="22"/>
        <v>0.70476643846055875</v>
      </c>
      <c r="P50" s="18">
        <f t="shared" si="22"/>
        <v>0.70920678232759937</v>
      </c>
      <c r="Q50" s="18">
        <f t="shared" si="22"/>
        <v>0.70916420391395074</v>
      </c>
      <c r="R50" s="18">
        <f t="shared" si="22"/>
        <v>0.70924103106501302</v>
      </c>
      <c r="S50" s="18">
        <f t="shared" si="22"/>
        <v>0.70931859916173923</v>
      </c>
      <c r="T50" s="18">
        <f t="shared" si="22"/>
        <v>0.70916875412688263</v>
      </c>
    </row>
    <row r="51" spans="1:20" x14ac:dyDescent="0.2">
      <c r="A51" s="1" t="s">
        <v>114</v>
      </c>
      <c r="C51" s="18"/>
      <c r="D51" s="16">
        <f>D50/C50-1</f>
        <v>-7.9278825125472796E-4</v>
      </c>
      <c r="E51" s="16">
        <f t="shared" ref="E51:T51" si="23">E50/D50-1</f>
        <v>4.6958613498748747E-4</v>
      </c>
      <c r="F51" s="16">
        <f t="shared" si="23"/>
        <v>-7.8156122129050765E-2</v>
      </c>
      <c r="G51" s="16">
        <f t="shared" si="23"/>
        <v>3.1553209239709723E-4</v>
      </c>
      <c r="H51" s="16">
        <f t="shared" si="23"/>
        <v>-5.566622013022382E-4</v>
      </c>
      <c r="I51" s="16">
        <f t="shared" si="23"/>
        <v>5.0905996858596758E-4</v>
      </c>
      <c r="J51" s="16">
        <f t="shared" si="23"/>
        <v>-1.3113865944580638E-4</v>
      </c>
      <c r="K51" s="16">
        <f t="shared" si="23"/>
        <v>2.5184677122447319E-3</v>
      </c>
      <c r="L51" s="16">
        <f t="shared" si="23"/>
        <v>7.0243662473101764E-5</v>
      </c>
      <c r="M51" s="16">
        <f t="shared" si="23"/>
        <v>-2.4961436822168448E-4</v>
      </c>
      <c r="N51" s="16">
        <f t="shared" si="23"/>
        <v>-3.8572806171588425E-5</v>
      </c>
      <c r="O51" s="16">
        <f t="shared" si="23"/>
        <v>2.2245038731960598E-4</v>
      </c>
      <c r="P51" s="16">
        <f t="shared" si="23"/>
        <v>6.3004473889816115E-3</v>
      </c>
      <c r="Q51" s="16">
        <f t="shared" si="23"/>
        <v>-6.0036670135765746E-5</v>
      </c>
      <c r="R51" s="16">
        <f t="shared" si="23"/>
        <v>1.0833478429717047E-4</v>
      </c>
      <c r="S51" s="16">
        <f t="shared" si="23"/>
        <v>1.0936775134084975E-4</v>
      </c>
      <c r="T51" s="16">
        <f t="shared" si="23"/>
        <v>-2.1125208761429981E-4</v>
      </c>
    </row>
    <row r="52" spans="1:20" ht="15" x14ac:dyDescent="0.25">
      <c r="A52" s="1" t="s">
        <v>84</v>
      </c>
      <c r="B52" s="1" t="s">
        <v>10</v>
      </c>
      <c r="C52" s="38">
        <f>VLOOKUP($A$2,AR2008_Stats!$B$4:$O$15,AR2008_Stats!E$1,FALSE)</f>
        <v>1170</v>
      </c>
    </row>
    <row r="53" spans="1:20" ht="15" x14ac:dyDescent="0.25">
      <c r="A53" s="1" t="s">
        <v>83</v>
      </c>
      <c r="B53" s="1" t="s">
        <v>10</v>
      </c>
      <c r="C53" s="74">
        <f>VLOOKUP($A$2,'[1]Total Existing Capacity'!$A$3:$J$14,5,FALSE)</f>
        <v>2333</v>
      </c>
    </row>
    <row r="55" spans="1:20" x14ac:dyDescent="0.2">
      <c r="A55" s="3" t="s">
        <v>71</v>
      </c>
    </row>
    <row r="56" spans="1:20" x14ac:dyDescent="0.2">
      <c r="A56" s="2" t="s">
        <v>72</v>
      </c>
    </row>
    <row r="57" spans="1:20" x14ac:dyDescent="0.2">
      <c r="A57" s="2" t="s">
        <v>73</v>
      </c>
    </row>
    <row r="59" spans="1:20" x14ac:dyDescent="0.2">
      <c r="A59" s="3" t="s">
        <v>80</v>
      </c>
    </row>
    <row r="60" spans="1:20" ht="15" x14ac:dyDescent="0.25">
      <c r="A60" t="s">
        <v>13</v>
      </c>
      <c r="B60" s="2" t="s">
        <v>97</v>
      </c>
    </row>
    <row r="61" spans="1:20" ht="15" x14ac:dyDescent="0.25">
      <c r="A61" t="s">
        <v>14</v>
      </c>
      <c r="B61" s="2" t="s">
        <v>98</v>
      </c>
    </row>
    <row r="62" spans="1:20" ht="15" x14ac:dyDescent="0.25">
      <c r="A62" t="s">
        <v>15</v>
      </c>
      <c r="B62" s="2" t="s">
        <v>32</v>
      </c>
    </row>
    <row r="63" spans="1:20" ht="15" x14ac:dyDescent="0.25">
      <c r="A63" t="s">
        <v>16</v>
      </c>
      <c r="B63" s="2" t="s">
        <v>99</v>
      </c>
    </row>
    <row r="64" spans="1:20" ht="15" x14ac:dyDescent="0.25">
      <c r="A64" t="s">
        <v>17</v>
      </c>
      <c r="B64" s="2" t="s">
        <v>100</v>
      </c>
    </row>
    <row r="65" spans="1:2" ht="15" x14ac:dyDescent="0.25">
      <c r="A65" t="s">
        <v>18</v>
      </c>
      <c r="B65" s="2" t="s">
        <v>101</v>
      </c>
    </row>
    <row r="66" spans="1:2" ht="15" x14ac:dyDescent="0.25">
      <c r="A66" t="s">
        <v>19</v>
      </c>
      <c r="B66" s="2" t="s">
        <v>102</v>
      </c>
    </row>
    <row r="67" spans="1:2" ht="15" x14ac:dyDescent="0.25">
      <c r="A67" t="s">
        <v>21</v>
      </c>
      <c r="B67" s="2" t="s">
        <v>103</v>
      </c>
    </row>
    <row r="68" spans="1:2" ht="15" x14ac:dyDescent="0.25">
      <c r="A68" t="s">
        <v>22</v>
      </c>
      <c r="B68" s="2" t="s">
        <v>104</v>
      </c>
    </row>
    <row r="69" spans="1:2" ht="15" x14ac:dyDescent="0.25">
      <c r="A69" t="s">
        <v>23</v>
      </c>
      <c r="B69" s="2" t="s">
        <v>105</v>
      </c>
    </row>
    <row r="70" spans="1:2" ht="15" x14ac:dyDescent="0.25">
      <c r="A70" t="s">
        <v>24</v>
      </c>
      <c r="B70" s="2" t="s">
        <v>106</v>
      </c>
    </row>
    <row r="71" spans="1:2" ht="15" x14ac:dyDescent="0.25">
      <c r="A71" t="s">
        <v>20</v>
      </c>
      <c r="B71" s="2" t="s">
        <v>107</v>
      </c>
    </row>
  </sheetData>
  <dataValidations count="4">
    <dataValidation type="list" allowBlank="1" showInputMessage="1" showErrorMessage="1" sqref="A2">
      <formula1>$A$60:$A$71</formula1>
    </dataValidation>
    <dataValidation type="list" allowBlank="1" showInputMessage="1" showErrorMessage="1" sqref="B3">
      <formula1>$A$56:$A$57</formula1>
    </dataValidation>
    <dataValidation type="list" allowBlank="1" showInputMessage="1" showErrorMessage="1" sqref="B13:B17">
      <formula1>$B$60:$B$72</formula1>
    </dataValidation>
    <dataValidation type="list" allowBlank="1" showInputMessage="1" showErrorMessage="1" sqref="B18">
      <formula1>$B$60:$B$71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D71"/>
  <sheetViews>
    <sheetView workbookViewId="0"/>
  </sheetViews>
  <sheetFormatPr defaultRowHeight="12.75" x14ac:dyDescent="0.2"/>
  <cols>
    <col min="1" max="1" width="66.140625" style="2" customWidth="1"/>
    <col min="2" max="2" width="9.140625" style="2"/>
    <col min="3" max="26" width="11.28515625" style="2" bestFit="1" customWidth="1"/>
    <col min="27" max="27" width="9.85546875" style="2" customWidth="1"/>
    <col min="28" max="253" width="9.140625" style="2"/>
    <col min="254" max="254" width="66.140625" style="2" customWidth="1"/>
    <col min="255" max="257" width="9.140625" style="2"/>
    <col min="258" max="258" width="9.7109375" style="2" customWidth="1"/>
    <col min="259" max="282" width="11.28515625" style="2" bestFit="1" customWidth="1"/>
    <col min="283" max="509" width="9.140625" style="2"/>
    <col min="510" max="510" width="66.140625" style="2" customWidth="1"/>
    <col min="511" max="513" width="9.140625" style="2"/>
    <col min="514" max="514" width="9.7109375" style="2" customWidth="1"/>
    <col min="515" max="538" width="11.28515625" style="2" bestFit="1" customWidth="1"/>
    <col min="539" max="765" width="9.140625" style="2"/>
    <col min="766" max="766" width="66.140625" style="2" customWidth="1"/>
    <col min="767" max="769" width="9.140625" style="2"/>
    <col min="770" max="770" width="9.7109375" style="2" customWidth="1"/>
    <col min="771" max="794" width="11.28515625" style="2" bestFit="1" customWidth="1"/>
    <col min="795" max="1021" width="9.140625" style="2"/>
    <col min="1022" max="1022" width="66.140625" style="2" customWidth="1"/>
    <col min="1023" max="1025" width="9.140625" style="2"/>
    <col min="1026" max="1026" width="9.7109375" style="2" customWidth="1"/>
    <col min="1027" max="1050" width="11.28515625" style="2" bestFit="1" customWidth="1"/>
    <col min="1051" max="1277" width="9.140625" style="2"/>
    <col min="1278" max="1278" width="66.140625" style="2" customWidth="1"/>
    <col min="1279" max="1281" width="9.140625" style="2"/>
    <col min="1282" max="1282" width="9.7109375" style="2" customWidth="1"/>
    <col min="1283" max="1306" width="11.28515625" style="2" bestFit="1" customWidth="1"/>
    <col min="1307" max="1533" width="9.140625" style="2"/>
    <col min="1534" max="1534" width="66.140625" style="2" customWidth="1"/>
    <col min="1535" max="1537" width="9.140625" style="2"/>
    <col min="1538" max="1538" width="9.7109375" style="2" customWidth="1"/>
    <col min="1539" max="1562" width="11.28515625" style="2" bestFit="1" customWidth="1"/>
    <col min="1563" max="1789" width="9.140625" style="2"/>
    <col min="1790" max="1790" width="66.140625" style="2" customWidth="1"/>
    <col min="1791" max="1793" width="9.140625" style="2"/>
    <col min="1794" max="1794" width="9.7109375" style="2" customWidth="1"/>
    <col min="1795" max="1818" width="11.28515625" style="2" bestFit="1" customWidth="1"/>
    <col min="1819" max="2045" width="9.140625" style="2"/>
    <col min="2046" max="2046" width="66.140625" style="2" customWidth="1"/>
    <col min="2047" max="2049" width="9.140625" style="2"/>
    <col min="2050" max="2050" width="9.7109375" style="2" customWidth="1"/>
    <col min="2051" max="2074" width="11.28515625" style="2" bestFit="1" customWidth="1"/>
    <col min="2075" max="2301" width="9.140625" style="2"/>
    <col min="2302" max="2302" width="66.140625" style="2" customWidth="1"/>
    <col min="2303" max="2305" width="9.140625" style="2"/>
    <col min="2306" max="2306" width="9.7109375" style="2" customWidth="1"/>
    <col min="2307" max="2330" width="11.28515625" style="2" bestFit="1" customWidth="1"/>
    <col min="2331" max="2557" width="9.140625" style="2"/>
    <col min="2558" max="2558" width="66.140625" style="2" customWidth="1"/>
    <col min="2559" max="2561" width="9.140625" style="2"/>
    <col min="2562" max="2562" width="9.7109375" style="2" customWidth="1"/>
    <col min="2563" max="2586" width="11.28515625" style="2" bestFit="1" customWidth="1"/>
    <col min="2587" max="2813" width="9.140625" style="2"/>
    <col min="2814" max="2814" width="66.140625" style="2" customWidth="1"/>
    <col min="2815" max="2817" width="9.140625" style="2"/>
    <col min="2818" max="2818" width="9.7109375" style="2" customWidth="1"/>
    <col min="2819" max="2842" width="11.28515625" style="2" bestFit="1" customWidth="1"/>
    <col min="2843" max="3069" width="9.140625" style="2"/>
    <col min="3070" max="3070" width="66.140625" style="2" customWidth="1"/>
    <col min="3071" max="3073" width="9.140625" style="2"/>
    <col min="3074" max="3074" width="9.7109375" style="2" customWidth="1"/>
    <col min="3075" max="3098" width="11.28515625" style="2" bestFit="1" customWidth="1"/>
    <col min="3099" max="3325" width="9.140625" style="2"/>
    <col min="3326" max="3326" width="66.140625" style="2" customWidth="1"/>
    <col min="3327" max="3329" width="9.140625" style="2"/>
    <col min="3330" max="3330" width="9.7109375" style="2" customWidth="1"/>
    <col min="3331" max="3354" width="11.28515625" style="2" bestFit="1" customWidth="1"/>
    <col min="3355" max="3581" width="9.140625" style="2"/>
    <col min="3582" max="3582" width="66.140625" style="2" customWidth="1"/>
    <col min="3583" max="3585" width="9.140625" style="2"/>
    <col min="3586" max="3586" width="9.7109375" style="2" customWidth="1"/>
    <col min="3587" max="3610" width="11.28515625" style="2" bestFit="1" customWidth="1"/>
    <col min="3611" max="3837" width="9.140625" style="2"/>
    <col min="3838" max="3838" width="66.140625" style="2" customWidth="1"/>
    <col min="3839" max="3841" width="9.140625" style="2"/>
    <col min="3842" max="3842" width="9.7109375" style="2" customWidth="1"/>
    <col min="3843" max="3866" width="11.28515625" style="2" bestFit="1" customWidth="1"/>
    <col min="3867" max="4093" width="9.140625" style="2"/>
    <col min="4094" max="4094" width="66.140625" style="2" customWidth="1"/>
    <col min="4095" max="4097" width="9.140625" style="2"/>
    <col min="4098" max="4098" width="9.7109375" style="2" customWidth="1"/>
    <col min="4099" max="4122" width="11.28515625" style="2" bestFit="1" customWidth="1"/>
    <col min="4123" max="4349" width="9.140625" style="2"/>
    <col min="4350" max="4350" width="66.140625" style="2" customWidth="1"/>
    <col min="4351" max="4353" width="9.140625" style="2"/>
    <col min="4354" max="4354" width="9.7109375" style="2" customWidth="1"/>
    <col min="4355" max="4378" width="11.28515625" style="2" bestFit="1" customWidth="1"/>
    <col min="4379" max="4605" width="9.140625" style="2"/>
    <col min="4606" max="4606" width="66.140625" style="2" customWidth="1"/>
    <col min="4607" max="4609" width="9.140625" style="2"/>
    <col min="4610" max="4610" width="9.7109375" style="2" customWidth="1"/>
    <col min="4611" max="4634" width="11.28515625" style="2" bestFit="1" customWidth="1"/>
    <col min="4635" max="4861" width="9.140625" style="2"/>
    <col min="4862" max="4862" width="66.140625" style="2" customWidth="1"/>
    <col min="4863" max="4865" width="9.140625" style="2"/>
    <col min="4866" max="4866" width="9.7109375" style="2" customWidth="1"/>
    <col min="4867" max="4890" width="11.28515625" style="2" bestFit="1" customWidth="1"/>
    <col min="4891" max="5117" width="9.140625" style="2"/>
    <col min="5118" max="5118" width="66.140625" style="2" customWidth="1"/>
    <col min="5119" max="5121" width="9.140625" style="2"/>
    <col min="5122" max="5122" width="9.7109375" style="2" customWidth="1"/>
    <col min="5123" max="5146" width="11.28515625" style="2" bestFit="1" customWidth="1"/>
    <col min="5147" max="5373" width="9.140625" style="2"/>
    <col min="5374" max="5374" width="66.140625" style="2" customWidth="1"/>
    <col min="5375" max="5377" width="9.140625" style="2"/>
    <col min="5378" max="5378" width="9.7109375" style="2" customWidth="1"/>
    <col min="5379" max="5402" width="11.28515625" style="2" bestFit="1" customWidth="1"/>
    <col min="5403" max="5629" width="9.140625" style="2"/>
    <col min="5630" max="5630" width="66.140625" style="2" customWidth="1"/>
    <col min="5631" max="5633" width="9.140625" style="2"/>
    <col min="5634" max="5634" width="9.7109375" style="2" customWidth="1"/>
    <col min="5635" max="5658" width="11.28515625" style="2" bestFit="1" customWidth="1"/>
    <col min="5659" max="5885" width="9.140625" style="2"/>
    <col min="5886" max="5886" width="66.140625" style="2" customWidth="1"/>
    <col min="5887" max="5889" width="9.140625" style="2"/>
    <col min="5890" max="5890" width="9.7109375" style="2" customWidth="1"/>
    <col min="5891" max="5914" width="11.28515625" style="2" bestFit="1" customWidth="1"/>
    <col min="5915" max="6141" width="9.140625" style="2"/>
    <col min="6142" max="6142" width="66.140625" style="2" customWidth="1"/>
    <col min="6143" max="6145" width="9.140625" style="2"/>
    <col min="6146" max="6146" width="9.7109375" style="2" customWidth="1"/>
    <col min="6147" max="6170" width="11.28515625" style="2" bestFit="1" customWidth="1"/>
    <col min="6171" max="6397" width="9.140625" style="2"/>
    <col min="6398" max="6398" width="66.140625" style="2" customWidth="1"/>
    <col min="6399" max="6401" width="9.140625" style="2"/>
    <col min="6402" max="6402" width="9.7109375" style="2" customWidth="1"/>
    <col min="6403" max="6426" width="11.28515625" style="2" bestFit="1" customWidth="1"/>
    <col min="6427" max="6653" width="9.140625" style="2"/>
    <col min="6654" max="6654" width="66.140625" style="2" customWidth="1"/>
    <col min="6655" max="6657" width="9.140625" style="2"/>
    <col min="6658" max="6658" width="9.7109375" style="2" customWidth="1"/>
    <col min="6659" max="6682" width="11.28515625" style="2" bestFit="1" customWidth="1"/>
    <col min="6683" max="6909" width="9.140625" style="2"/>
    <col min="6910" max="6910" width="66.140625" style="2" customWidth="1"/>
    <col min="6911" max="6913" width="9.140625" style="2"/>
    <col min="6914" max="6914" width="9.7109375" style="2" customWidth="1"/>
    <col min="6915" max="6938" width="11.28515625" style="2" bestFit="1" customWidth="1"/>
    <col min="6939" max="7165" width="9.140625" style="2"/>
    <col min="7166" max="7166" width="66.140625" style="2" customWidth="1"/>
    <col min="7167" max="7169" width="9.140625" style="2"/>
    <col min="7170" max="7170" width="9.7109375" style="2" customWidth="1"/>
    <col min="7171" max="7194" width="11.28515625" style="2" bestFit="1" customWidth="1"/>
    <col min="7195" max="7421" width="9.140625" style="2"/>
    <col min="7422" max="7422" width="66.140625" style="2" customWidth="1"/>
    <col min="7423" max="7425" width="9.140625" style="2"/>
    <col min="7426" max="7426" width="9.7109375" style="2" customWidth="1"/>
    <col min="7427" max="7450" width="11.28515625" style="2" bestFit="1" customWidth="1"/>
    <col min="7451" max="7677" width="9.140625" style="2"/>
    <col min="7678" max="7678" width="66.140625" style="2" customWidth="1"/>
    <col min="7679" max="7681" width="9.140625" style="2"/>
    <col min="7682" max="7682" width="9.7109375" style="2" customWidth="1"/>
    <col min="7683" max="7706" width="11.28515625" style="2" bestFit="1" customWidth="1"/>
    <col min="7707" max="7933" width="9.140625" style="2"/>
    <col min="7934" max="7934" width="66.140625" style="2" customWidth="1"/>
    <col min="7935" max="7937" width="9.140625" style="2"/>
    <col min="7938" max="7938" width="9.7109375" style="2" customWidth="1"/>
    <col min="7939" max="7962" width="11.28515625" style="2" bestFit="1" customWidth="1"/>
    <col min="7963" max="8189" width="9.140625" style="2"/>
    <col min="8190" max="8190" width="66.140625" style="2" customWidth="1"/>
    <col min="8191" max="8193" width="9.140625" style="2"/>
    <col min="8194" max="8194" width="9.7109375" style="2" customWidth="1"/>
    <col min="8195" max="8218" width="11.28515625" style="2" bestFit="1" customWidth="1"/>
    <col min="8219" max="8445" width="9.140625" style="2"/>
    <col min="8446" max="8446" width="66.140625" style="2" customWidth="1"/>
    <col min="8447" max="8449" width="9.140625" style="2"/>
    <col min="8450" max="8450" width="9.7109375" style="2" customWidth="1"/>
    <col min="8451" max="8474" width="11.28515625" style="2" bestFit="1" customWidth="1"/>
    <col min="8475" max="8701" width="9.140625" style="2"/>
    <col min="8702" max="8702" width="66.140625" style="2" customWidth="1"/>
    <col min="8703" max="8705" width="9.140625" style="2"/>
    <col min="8706" max="8706" width="9.7109375" style="2" customWidth="1"/>
    <col min="8707" max="8730" width="11.28515625" style="2" bestFit="1" customWidth="1"/>
    <col min="8731" max="8957" width="9.140625" style="2"/>
    <col min="8958" max="8958" width="66.140625" style="2" customWidth="1"/>
    <col min="8959" max="8961" width="9.140625" style="2"/>
    <col min="8962" max="8962" width="9.7109375" style="2" customWidth="1"/>
    <col min="8963" max="8986" width="11.28515625" style="2" bestFit="1" customWidth="1"/>
    <col min="8987" max="9213" width="9.140625" style="2"/>
    <col min="9214" max="9214" width="66.140625" style="2" customWidth="1"/>
    <col min="9215" max="9217" width="9.140625" style="2"/>
    <col min="9218" max="9218" width="9.7109375" style="2" customWidth="1"/>
    <col min="9219" max="9242" width="11.28515625" style="2" bestFit="1" customWidth="1"/>
    <col min="9243" max="9469" width="9.140625" style="2"/>
    <col min="9470" max="9470" width="66.140625" style="2" customWidth="1"/>
    <col min="9471" max="9473" width="9.140625" style="2"/>
    <col min="9474" max="9474" width="9.7109375" style="2" customWidth="1"/>
    <col min="9475" max="9498" width="11.28515625" style="2" bestFit="1" customWidth="1"/>
    <col min="9499" max="9725" width="9.140625" style="2"/>
    <col min="9726" max="9726" width="66.140625" style="2" customWidth="1"/>
    <col min="9727" max="9729" width="9.140625" style="2"/>
    <col min="9730" max="9730" width="9.7109375" style="2" customWidth="1"/>
    <col min="9731" max="9754" width="11.28515625" style="2" bestFit="1" customWidth="1"/>
    <col min="9755" max="9981" width="9.140625" style="2"/>
    <col min="9982" max="9982" width="66.140625" style="2" customWidth="1"/>
    <col min="9983" max="9985" width="9.140625" style="2"/>
    <col min="9986" max="9986" width="9.7109375" style="2" customWidth="1"/>
    <col min="9987" max="10010" width="11.28515625" style="2" bestFit="1" customWidth="1"/>
    <col min="10011" max="10237" width="9.140625" style="2"/>
    <col min="10238" max="10238" width="66.140625" style="2" customWidth="1"/>
    <col min="10239" max="10241" width="9.140625" style="2"/>
    <col min="10242" max="10242" width="9.7109375" style="2" customWidth="1"/>
    <col min="10243" max="10266" width="11.28515625" style="2" bestFit="1" customWidth="1"/>
    <col min="10267" max="10493" width="9.140625" style="2"/>
    <col min="10494" max="10494" width="66.140625" style="2" customWidth="1"/>
    <col min="10495" max="10497" width="9.140625" style="2"/>
    <col min="10498" max="10498" width="9.7109375" style="2" customWidth="1"/>
    <col min="10499" max="10522" width="11.28515625" style="2" bestFit="1" customWidth="1"/>
    <col min="10523" max="10749" width="9.140625" style="2"/>
    <col min="10750" max="10750" width="66.140625" style="2" customWidth="1"/>
    <col min="10751" max="10753" width="9.140625" style="2"/>
    <col min="10754" max="10754" width="9.7109375" style="2" customWidth="1"/>
    <col min="10755" max="10778" width="11.28515625" style="2" bestFit="1" customWidth="1"/>
    <col min="10779" max="11005" width="9.140625" style="2"/>
    <col min="11006" max="11006" width="66.140625" style="2" customWidth="1"/>
    <col min="11007" max="11009" width="9.140625" style="2"/>
    <col min="11010" max="11010" width="9.7109375" style="2" customWidth="1"/>
    <col min="11011" max="11034" width="11.28515625" style="2" bestFit="1" customWidth="1"/>
    <col min="11035" max="11261" width="9.140625" style="2"/>
    <col min="11262" max="11262" width="66.140625" style="2" customWidth="1"/>
    <col min="11263" max="11265" width="9.140625" style="2"/>
    <col min="11266" max="11266" width="9.7109375" style="2" customWidth="1"/>
    <col min="11267" max="11290" width="11.28515625" style="2" bestFit="1" customWidth="1"/>
    <col min="11291" max="11517" width="9.140625" style="2"/>
    <col min="11518" max="11518" width="66.140625" style="2" customWidth="1"/>
    <col min="11519" max="11521" width="9.140625" style="2"/>
    <col min="11522" max="11522" width="9.7109375" style="2" customWidth="1"/>
    <col min="11523" max="11546" width="11.28515625" style="2" bestFit="1" customWidth="1"/>
    <col min="11547" max="11773" width="9.140625" style="2"/>
    <col min="11774" max="11774" width="66.140625" style="2" customWidth="1"/>
    <col min="11775" max="11777" width="9.140625" style="2"/>
    <col min="11778" max="11778" width="9.7109375" style="2" customWidth="1"/>
    <col min="11779" max="11802" width="11.28515625" style="2" bestFit="1" customWidth="1"/>
    <col min="11803" max="12029" width="9.140625" style="2"/>
    <col min="12030" max="12030" width="66.140625" style="2" customWidth="1"/>
    <col min="12031" max="12033" width="9.140625" style="2"/>
    <col min="12034" max="12034" width="9.7109375" style="2" customWidth="1"/>
    <col min="12035" max="12058" width="11.28515625" style="2" bestFit="1" customWidth="1"/>
    <col min="12059" max="12285" width="9.140625" style="2"/>
    <col min="12286" max="12286" width="66.140625" style="2" customWidth="1"/>
    <col min="12287" max="12289" width="9.140625" style="2"/>
    <col min="12290" max="12290" width="9.7109375" style="2" customWidth="1"/>
    <col min="12291" max="12314" width="11.28515625" style="2" bestFit="1" customWidth="1"/>
    <col min="12315" max="12541" width="9.140625" style="2"/>
    <col min="12542" max="12542" width="66.140625" style="2" customWidth="1"/>
    <col min="12543" max="12545" width="9.140625" style="2"/>
    <col min="12546" max="12546" width="9.7109375" style="2" customWidth="1"/>
    <col min="12547" max="12570" width="11.28515625" style="2" bestFit="1" customWidth="1"/>
    <col min="12571" max="12797" width="9.140625" style="2"/>
    <col min="12798" max="12798" width="66.140625" style="2" customWidth="1"/>
    <col min="12799" max="12801" width="9.140625" style="2"/>
    <col min="12802" max="12802" width="9.7109375" style="2" customWidth="1"/>
    <col min="12803" max="12826" width="11.28515625" style="2" bestFit="1" customWidth="1"/>
    <col min="12827" max="13053" width="9.140625" style="2"/>
    <col min="13054" max="13054" width="66.140625" style="2" customWidth="1"/>
    <col min="13055" max="13057" width="9.140625" style="2"/>
    <col min="13058" max="13058" width="9.7109375" style="2" customWidth="1"/>
    <col min="13059" max="13082" width="11.28515625" style="2" bestFit="1" customWidth="1"/>
    <col min="13083" max="13309" width="9.140625" style="2"/>
    <col min="13310" max="13310" width="66.140625" style="2" customWidth="1"/>
    <col min="13311" max="13313" width="9.140625" style="2"/>
    <col min="13314" max="13314" width="9.7109375" style="2" customWidth="1"/>
    <col min="13315" max="13338" width="11.28515625" style="2" bestFit="1" customWidth="1"/>
    <col min="13339" max="13565" width="9.140625" style="2"/>
    <col min="13566" max="13566" width="66.140625" style="2" customWidth="1"/>
    <col min="13567" max="13569" width="9.140625" style="2"/>
    <col min="13570" max="13570" width="9.7109375" style="2" customWidth="1"/>
    <col min="13571" max="13594" width="11.28515625" style="2" bestFit="1" customWidth="1"/>
    <col min="13595" max="13821" width="9.140625" style="2"/>
    <col min="13822" max="13822" width="66.140625" style="2" customWidth="1"/>
    <col min="13823" max="13825" width="9.140625" style="2"/>
    <col min="13826" max="13826" width="9.7109375" style="2" customWidth="1"/>
    <col min="13827" max="13850" width="11.28515625" style="2" bestFit="1" customWidth="1"/>
    <col min="13851" max="14077" width="9.140625" style="2"/>
    <col min="14078" max="14078" width="66.140625" style="2" customWidth="1"/>
    <col min="14079" max="14081" width="9.140625" style="2"/>
    <col min="14082" max="14082" width="9.7109375" style="2" customWidth="1"/>
    <col min="14083" max="14106" width="11.28515625" style="2" bestFit="1" customWidth="1"/>
    <col min="14107" max="14333" width="9.140625" style="2"/>
    <col min="14334" max="14334" width="66.140625" style="2" customWidth="1"/>
    <col min="14335" max="14337" width="9.140625" style="2"/>
    <col min="14338" max="14338" width="9.7109375" style="2" customWidth="1"/>
    <col min="14339" max="14362" width="11.28515625" style="2" bestFit="1" customWidth="1"/>
    <col min="14363" max="14589" width="9.140625" style="2"/>
    <col min="14590" max="14590" width="66.140625" style="2" customWidth="1"/>
    <col min="14591" max="14593" width="9.140625" style="2"/>
    <col min="14594" max="14594" width="9.7109375" style="2" customWidth="1"/>
    <col min="14595" max="14618" width="11.28515625" style="2" bestFit="1" customWidth="1"/>
    <col min="14619" max="14845" width="9.140625" style="2"/>
    <col min="14846" max="14846" width="66.140625" style="2" customWidth="1"/>
    <col min="14847" max="14849" width="9.140625" style="2"/>
    <col min="14850" max="14850" width="9.7109375" style="2" customWidth="1"/>
    <col min="14851" max="14874" width="11.28515625" style="2" bestFit="1" customWidth="1"/>
    <col min="14875" max="15101" width="9.140625" style="2"/>
    <col min="15102" max="15102" width="66.140625" style="2" customWidth="1"/>
    <col min="15103" max="15105" width="9.140625" style="2"/>
    <col min="15106" max="15106" width="9.7109375" style="2" customWidth="1"/>
    <col min="15107" max="15130" width="11.28515625" style="2" bestFit="1" customWidth="1"/>
    <col min="15131" max="15357" width="9.140625" style="2"/>
    <col min="15358" max="15358" width="66.140625" style="2" customWidth="1"/>
    <col min="15359" max="15361" width="9.140625" style="2"/>
    <col min="15362" max="15362" width="9.7109375" style="2" customWidth="1"/>
    <col min="15363" max="15386" width="11.28515625" style="2" bestFit="1" customWidth="1"/>
    <col min="15387" max="15613" width="9.140625" style="2"/>
    <col min="15614" max="15614" width="66.140625" style="2" customWidth="1"/>
    <col min="15615" max="15617" width="9.140625" style="2"/>
    <col min="15618" max="15618" width="9.7109375" style="2" customWidth="1"/>
    <col min="15619" max="15642" width="11.28515625" style="2" bestFit="1" customWidth="1"/>
    <col min="15643" max="15869" width="9.140625" style="2"/>
    <col min="15870" max="15870" width="66.140625" style="2" customWidth="1"/>
    <col min="15871" max="15873" width="9.140625" style="2"/>
    <col min="15874" max="15874" width="9.7109375" style="2" customWidth="1"/>
    <col min="15875" max="15898" width="11.28515625" style="2" bestFit="1" customWidth="1"/>
    <col min="15899" max="16125" width="9.140625" style="2"/>
    <col min="16126" max="16126" width="66.140625" style="2" customWidth="1"/>
    <col min="16127" max="16129" width="9.140625" style="2"/>
    <col min="16130" max="16130" width="9.7109375" style="2" customWidth="1"/>
    <col min="16131" max="16154" width="11.28515625" style="2" bestFit="1" customWidth="1"/>
    <col min="16155" max="16384" width="9.140625" style="2"/>
  </cols>
  <sheetData>
    <row r="1" spans="1:30" ht="20.25" thickBot="1" x14ac:dyDescent="0.35">
      <c r="A1" s="20" t="s">
        <v>117</v>
      </c>
    </row>
    <row r="2" spans="1:30" ht="15.75" thickTop="1" x14ac:dyDescent="0.25">
      <c r="A2" s="21" t="s">
        <v>16</v>
      </c>
      <c r="B2" s="31" t="s">
        <v>99</v>
      </c>
      <c r="C2" s="1">
        <v>2007</v>
      </c>
      <c r="D2" s="1">
        <v>2008</v>
      </c>
      <c r="E2" s="1">
        <v>2009</v>
      </c>
      <c r="F2" s="1">
        <v>2010</v>
      </c>
      <c r="G2" s="1">
        <v>2011</v>
      </c>
      <c r="H2" s="1">
        <v>2012</v>
      </c>
      <c r="I2" s="1">
        <v>2013</v>
      </c>
      <c r="J2" s="1">
        <v>2014</v>
      </c>
      <c r="K2" s="1">
        <v>2015</v>
      </c>
      <c r="L2" s="1">
        <v>2016</v>
      </c>
      <c r="M2" s="1">
        <v>2017</v>
      </c>
      <c r="N2" s="1">
        <v>2018</v>
      </c>
      <c r="O2" s="1">
        <v>2019</v>
      </c>
      <c r="P2" s="1">
        <v>2020</v>
      </c>
      <c r="Q2" s="1">
        <v>2021</v>
      </c>
      <c r="R2" s="1">
        <v>2022</v>
      </c>
      <c r="S2" s="1">
        <v>2023</v>
      </c>
      <c r="T2" s="1">
        <v>2024</v>
      </c>
      <c r="U2" s="1">
        <v>2025</v>
      </c>
      <c r="V2" s="1">
        <v>2026</v>
      </c>
      <c r="W2" s="1">
        <v>2027</v>
      </c>
      <c r="X2" s="1">
        <v>2028</v>
      </c>
      <c r="Y2" s="1">
        <v>2029</v>
      </c>
      <c r="Z2" s="1">
        <v>2030</v>
      </c>
      <c r="AA2" s="1">
        <v>2031</v>
      </c>
      <c r="AB2" s="2">
        <v>2040</v>
      </c>
      <c r="AC2" s="2">
        <v>2050</v>
      </c>
      <c r="AD2" s="2">
        <v>2060</v>
      </c>
    </row>
    <row r="3" spans="1:30" ht="15" x14ac:dyDescent="0.25">
      <c r="A3" s="3" t="s">
        <v>0</v>
      </c>
      <c r="B3" s="31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0" ht="15" x14ac:dyDescent="0.25">
      <c r="A4" s="1" t="s">
        <v>38</v>
      </c>
      <c r="C4" s="24"/>
      <c r="D4" s="32">
        <f t="shared" ref="D4:U4" si="0">IF($B$3="AR 2008",D41,D43)</f>
        <v>3.125E-2</v>
      </c>
      <c r="E4" s="32">
        <f t="shared" si="0"/>
        <v>4.924242424242431E-2</v>
      </c>
      <c r="F4" s="32">
        <f t="shared" si="0"/>
        <v>3.971119133573997E-2</v>
      </c>
      <c r="G4" s="32">
        <f t="shared" si="0"/>
        <v>4.1666666666666741E-2</v>
      </c>
      <c r="H4" s="32">
        <f t="shared" si="0"/>
        <v>4.1666666666666741E-2</v>
      </c>
      <c r="I4" s="32">
        <f t="shared" si="0"/>
        <v>4.1600000000000081E-2</v>
      </c>
      <c r="J4" s="32">
        <f t="shared" si="0"/>
        <v>4.1474654377880116E-2</v>
      </c>
      <c r="K4" s="32">
        <f t="shared" si="0"/>
        <v>4.1297935103244754E-2</v>
      </c>
      <c r="L4" s="32">
        <f t="shared" si="0"/>
        <v>4.2492917847025469E-2</v>
      </c>
      <c r="M4" s="32">
        <f t="shared" si="0"/>
        <v>4.2119565217391353E-2</v>
      </c>
      <c r="N4" s="32">
        <f t="shared" si="0"/>
        <v>4.041720990873543E-2</v>
      </c>
      <c r="O4" s="32">
        <f t="shared" si="0"/>
        <v>4.2606516290726759E-2</v>
      </c>
      <c r="P4" s="32">
        <f t="shared" si="0"/>
        <v>4.0865384615384581E-2</v>
      </c>
      <c r="Q4" s="32">
        <f t="shared" si="0"/>
        <v>4.1570438799076292E-2</v>
      </c>
      <c r="R4" s="32">
        <f t="shared" si="0"/>
        <v>4.2128603104212958E-2</v>
      </c>
      <c r="S4" s="32">
        <f t="shared" si="0"/>
        <v>4.1489361702127692E-2</v>
      </c>
      <c r="T4" s="32">
        <f t="shared" si="0"/>
        <v>4.1879468845760881E-2</v>
      </c>
      <c r="U4" s="32">
        <f t="shared" si="0"/>
        <v>4.2156862745098111E-2</v>
      </c>
      <c r="V4" s="32">
        <f>U4</f>
        <v>4.2156862745098111E-2</v>
      </c>
      <c r="W4" s="32">
        <f t="shared" ref="W4:Z4" si="1">V4</f>
        <v>4.2156862745098111E-2</v>
      </c>
      <c r="X4" s="32">
        <f t="shared" si="1"/>
        <v>4.2156862745098111E-2</v>
      </c>
      <c r="Y4" s="32">
        <f t="shared" si="1"/>
        <v>4.2156862745098111E-2</v>
      </c>
      <c r="Z4" s="32">
        <f t="shared" si="1"/>
        <v>4.2156862745098111E-2</v>
      </c>
      <c r="AA4" s="4">
        <f>AB4</f>
        <v>4.4493831248677507E-2</v>
      </c>
      <c r="AB4" s="18">
        <f>SUMIF(PoolPlan_EnergyProj!$Q$1:$AB$1,B2,PoolPlan_EnergyProj!$Q$29:$AB$29)</f>
        <v>4.4493831248677507E-2</v>
      </c>
      <c r="AC4" s="18">
        <f>SUMIF(PoolPlan_EnergyProj!$Q$1:$AB$1,B2,PoolPlan_EnergyProj!$Q$30:$AB$30)</f>
        <v>4.544859367548082E-2</v>
      </c>
      <c r="AD4" s="86">
        <v>0</v>
      </c>
    </row>
    <row r="5" spans="1:30" ht="15" x14ac:dyDescent="0.25">
      <c r="A5" s="1" t="s">
        <v>115</v>
      </c>
      <c r="B5" s="5" t="s">
        <v>1</v>
      </c>
      <c r="C5" s="23">
        <f>C42*(1-C7)*(1-C10)</f>
        <v>435.2</v>
      </c>
      <c r="D5" s="7">
        <f t="shared" ref="D5:AA5" si="2">C5*(1+D4)</f>
        <v>448.8</v>
      </c>
      <c r="E5" s="7">
        <f t="shared" si="2"/>
        <v>470.90000000000003</v>
      </c>
      <c r="F5" s="7">
        <f t="shared" si="2"/>
        <v>489.59999999999997</v>
      </c>
      <c r="G5" s="7">
        <f t="shared" si="2"/>
        <v>510</v>
      </c>
      <c r="H5" s="7">
        <f t="shared" si="2"/>
        <v>531.25</v>
      </c>
      <c r="I5" s="7">
        <f t="shared" si="2"/>
        <v>553.35</v>
      </c>
      <c r="J5" s="7">
        <f t="shared" si="2"/>
        <v>576.29999999999995</v>
      </c>
      <c r="K5" s="7">
        <f t="shared" si="2"/>
        <v>600.09999999999991</v>
      </c>
      <c r="L5" s="7">
        <f t="shared" si="2"/>
        <v>625.59999999999991</v>
      </c>
      <c r="M5" s="7">
        <f t="shared" si="2"/>
        <v>651.94999999999993</v>
      </c>
      <c r="N5" s="7">
        <f t="shared" si="2"/>
        <v>678.3</v>
      </c>
      <c r="O5" s="7">
        <f t="shared" si="2"/>
        <v>707.19999999999993</v>
      </c>
      <c r="P5" s="7">
        <f t="shared" si="2"/>
        <v>736.09999999999991</v>
      </c>
      <c r="Q5" s="7">
        <f t="shared" si="2"/>
        <v>766.69999999999993</v>
      </c>
      <c r="R5" s="7">
        <f t="shared" si="2"/>
        <v>799</v>
      </c>
      <c r="S5" s="7">
        <f t="shared" si="2"/>
        <v>832.15</v>
      </c>
      <c r="T5" s="7">
        <f t="shared" si="2"/>
        <v>866.99999999999989</v>
      </c>
      <c r="U5" s="7">
        <f t="shared" si="2"/>
        <v>903.55</v>
      </c>
      <c r="V5" s="7">
        <f t="shared" si="2"/>
        <v>941.64083333333338</v>
      </c>
      <c r="W5" s="7">
        <f t="shared" si="2"/>
        <v>981.33745669934649</v>
      </c>
      <c r="X5" s="7">
        <f t="shared" si="2"/>
        <v>1022.7075651680445</v>
      </c>
      <c r="Y5" s="7">
        <f t="shared" si="2"/>
        <v>1065.8217076212072</v>
      </c>
      <c r="Z5" s="7">
        <f t="shared" si="2"/>
        <v>1110.7534070601405</v>
      </c>
      <c r="AA5" s="7">
        <f t="shared" si="2"/>
        <v>1160.1750817127681</v>
      </c>
      <c r="AB5" s="7">
        <f>AA5*(1+AB4)^9</f>
        <v>1716.6290116047226</v>
      </c>
      <c r="AC5" s="7">
        <f>AB5*(1+AC4)^10</f>
        <v>2677.338452356249</v>
      </c>
      <c r="AD5" s="7">
        <f>AC5*(1+AD4)^10</f>
        <v>2677.338452356249</v>
      </c>
    </row>
    <row r="6" spans="1:30" ht="15" x14ac:dyDescent="0.25">
      <c r="A6" s="3" t="s">
        <v>2</v>
      </c>
      <c r="B6" s="5"/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30" ht="15" x14ac:dyDescent="0.25">
      <c r="A7" s="1" t="s">
        <v>3</v>
      </c>
      <c r="C7" s="71">
        <v>0</v>
      </c>
      <c r="D7" s="33">
        <f t="shared" ref="D7:Y7" si="3">C7</f>
        <v>0</v>
      </c>
      <c r="E7" s="33">
        <f t="shared" si="3"/>
        <v>0</v>
      </c>
      <c r="F7" s="33">
        <f t="shared" si="3"/>
        <v>0</v>
      </c>
      <c r="G7" s="33">
        <f t="shared" si="3"/>
        <v>0</v>
      </c>
      <c r="H7" s="33">
        <f t="shared" si="3"/>
        <v>0</v>
      </c>
      <c r="I7" s="33">
        <f t="shared" si="3"/>
        <v>0</v>
      </c>
      <c r="J7" s="33">
        <f t="shared" si="3"/>
        <v>0</v>
      </c>
      <c r="K7" s="33">
        <f t="shared" si="3"/>
        <v>0</v>
      </c>
      <c r="L7" s="33">
        <f t="shared" si="3"/>
        <v>0</v>
      </c>
      <c r="M7" s="33">
        <f t="shared" si="3"/>
        <v>0</v>
      </c>
      <c r="N7" s="33">
        <f t="shared" si="3"/>
        <v>0</v>
      </c>
      <c r="O7" s="33">
        <f t="shared" si="3"/>
        <v>0</v>
      </c>
      <c r="P7" s="33">
        <f t="shared" si="3"/>
        <v>0</v>
      </c>
      <c r="Q7" s="33">
        <f t="shared" si="3"/>
        <v>0</v>
      </c>
      <c r="R7" s="33">
        <f t="shared" si="3"/>
        <v>0</v>
      </c>
      <c r="S7" s="33">
        <f t="shared" si="3"/>
        <v>0</v>
      </c>
      <c r="T7" s="33">
        <f t="shared" si="3"/>
        <v>0</v>
      </c>
      <c r="U7" s="33">
        <f t="shared" si="3"/>
        <v>0</v>
      </c>
      <c r="V7" s="33">
        <f t="shared" si="3"/>
        <v>0</v>
      </c>
      <c r="W7" s="33">
        <f t="shared" si="3"/>
        <v>0</v>
      </c>
      <c r="X7" s="33">
        <f t="shared" si="3"/>
        <v>0</v>
      </c>
      <c r="Y7" s="33">
        <f t="shared" si="3"/>
        <v>0</v>
      </c>
      <c r="Z7" s="33">
        <f>Y7</f>
        <v>0</v>
      </c>
      <c r="AA7" s="33">
        <f t="shared" ref="AA7:AC7" si="4">Z7</f>
        <v>0</v>
      </c>
      <c r="AB7" s="33">
        <f t="shared" si="4"/>
        <v>0</v>
      </c>
      <c r="AC7" s="33">
        <f t="shared" si="4"/>
        <v>0</v>
      </c>
    </row>
    <row r="8" spans="1:30" ht="15" x14ac:dyDescent="0.25">
      <c r="A8" s="1" t="s">
        <v>96</v>
      </c>
      <c r="B8" s="5" t="s">
        <v>1</v>
      </c>
      <c r="C8" s="8">
        <f t="shared" ref="C8:AC8" si="5">C5/(1-C7)</f>
        <v>435.2</v>
      </c>
      <c r="D8" s="8">
        <f t="shared" si="5"/>
        <v>448.8</v>
      </c>
      <c r="E8" s="8">
        <f t="shared" si="5"/>
        <v>470.90000000000003</v>
      </c>
      <c r="F8" s="8">
        <f t="shared" si="5"/>
        <v>489.59999999999997</v>
      </c>
      <c r="G8" s="8">
        <f t="shared" si="5"/>
        <v>510</v>
      </c>
      <c r="H8" s="8">
        <f t="shared" si="5"/>
        <v>531.25</v>
      </c>
      <c r="I8" s="8">
        <f t="shared" si="5"/>
        <v>553.35</v>
      </c>
      <c r="J8" s="8">
        <f t="shared" si="5"/>
        <v>576.29999999999995</v>
      </c>
      <c r="K8" s="8">
        <f t="shared" si="5"/>
        <v>600.09999999999991</v>
      </c>
      <c r="L8" s="8">
        <f t="shared" si="5"/>
        <v>625.59999999999991</v>
      </c>
      <c r="M8" s="8">
        <f t="shared" si="5"/>
        <v>651.94999999999993</v>
      </c>
      <c r="N8" s="8">
        <f t="shared" si="5"/>
        <v>678.3</v>
      </c>
      <c r="O8" s="8">
        <f t="shared" si="5"/>
        <v>707.19999999999993</v>
      </c>
      <c r="P8" s="8">
        <f t="shared" si="5"/>
        <v>736.09999999999991</v>
      </c>
      <c r="Q8" s="8">
        <f t="shared" si="5"/>
        <v>766.69999999999993</v>
      </c>
      <c r="R8" s="8">
        <f t="shared" si="5"/>
        <v>799</v>
      </c>
      <c r="S8" s="8">
        <f t="shared" si="5"/>
        <v>832.15</v>
      </c>
      <c r="T8" s="8">
        <f t="shared" si="5"/>
        <v>866.99999999999989</v>
      </c>
      <c r="U8" s="8">
        <f t="shared" si="5"/>
        <v>903.55</v>
      </c>
      <c r="V8" s="8">
        <f t="shared" si="5"/>
        <v>941.64083333333338</v>
      </c>
      <c r="W8" s="8">
        <f t="shared" si="5"/>
        <v>981.33745669934649</v>
      </c>
      <c r="X8" s="8">
        <f t="shared" si="5"/>
        <v>1022.7075651680445</v>
      </c>
      <c r="Y8" s="8">
        <f t="shared" si="5"/>
        <v>1065.8217076212072</v>
      </c>
      <c r="Z8" s="8">
        <f t="shared" si="5"/>
        <v>1110.7534070601405</v>
      </c>
      <c r="AA8" s="8">
        <f t="shared" si="5"/>
        <v>1160.1750817127681</v>
      </c>
      <c r="AB8" s="8">
        <f t="shared" si="5"/>
        <v>1716.6290116047226</v>
      </c>
      <c r="AC8" s="8">
        <f t="shared" si="5"/>
        <v>2677.338452356249</v>
      </c>
    </row>
    <row r="9" spans="1:30" ht="15" x14ac:dyDescent="0.25">
      <c r="A9" s="3" t="s">
        <v>4</v>
      </c>
      <c r="B9" s="5"/>
      <c r="C9" s="11"/>
      <c r="D9" s="11"/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30" ht="15" x14ac:dyDescent="0.25">
      <c r="A10" s="1" t="s">
        <v>5</v>
      </c>
      <c r="C10" s="26">
        <v>0.15</v>
      </c>
      <c r="D10" s="32">
        <f>C10</f>
        <v>0.15</v>
      </c>
      <c r="E10" s="32">
        <f t="shared" ref="E10:AC10" si="6">D10</f>
        <v>0.15</v>
      </c>
      <c r="F10" s="32">
        <f t="shared" si="6"/>
        <v>0.15</v>
      </c>
      <c r="G10" s="32">
        <f t="shared" si="6"/>
        <v>0.15</v>
      </c>
      <c r="H10" s="32">
        <f t="shared" si="6"/>
        <v>0.15</v>
      </c>
      <c r="I10" s="32">
        <f t="shared" si="6"/>
        <v>0.15</v>
      </c>
      <c r="J10" s="32">
        <f t="shared" si="6"/>
        <v>0.15</v>
      </c>
      <c r="K10" s="32">
        <f t="shared" si="6"/>
        <v>0.15</v>
      </c>
      <c r="L10" s="32">
        <f t="shared" si="6"/>
        <v>0.15</v>
      </c>
      <c r="M10" s="32">
        <f t="shared" si="6"/>
        <v>0.15</v>
      </c>
      <c r="N10" s="32">
        <f t="shared" si="6"/>
        <v>0.15</v>
      </c>
      <c r="O10" s="32">
        <f t="shared" si="6"/>
        <v>0.15</v>
      </c>
      <c r="P10" s="32">
        <f t="shared" si="6"/>
        <v>0.15</v>
      </c>
      <c r="Q10" s="32">
        <f t="shared" si="6"/>
        <v>0.15</v>
      </c>
      <c r="R10" s="32">
        <f t="shared" si="6"/>
        <v>0.15</v>
      </c>
      <c r="S10" s="32">
        <f t="shared" si="6"/>
        <v>0.15</v>
      </c>
      <c r="T10" s="32">
        <f t="shared" si="6"/>
        <v>0.15</v>
      </c>
      <c r="U10" s="32">
        <f t="shared" si="6"/>
        <v>0.15</v>
      </c>
      <c r="V10" s="32">
        <f t="shared" si="6"/>
        <v>0.15</v>
      </c>
      <c r="W10" s="32">
        <f t="shared" si="6"/>
        <v>0.15</v>
      </c>
      <c r="X10" s="32">
        <f t="shared" si="6"/>
        <v>0.15</v>
      </c>
      <c r="Y10" s="32">
        <f t="shared" si="6"/>
        <v>0.15</v>
      </c>
      <c r="Z10" s="32">
        <f t="shared" si="6"/>
        <v>0.15</v>
      </c>
      <c r="AA10" s="32">
        <f t="shared" si="6"/>
        <v>0.15</v>
      </c>
      <c r="AB10" s="32">
        <f t="shared" si="6"/>
        <v>0.15</v>
      </c>
      <c r="AC10" s="32">
        <f t="shared" si="6"/>
        <v>0.15</v>
      </c>
    </row>
    <row r="11" spans="1:30" ht="15" x14ac:dyDescent="0.25">
      <c r="A11" s="1" t="s">
        <v>95</v>
      </c>
      <c r="B11" s="5" t="s">
        <v>1</v>
      </c>
      <c r="C11" s="8">
        <f t="shared" ref="C11:AC11" si="7">C8/(1-C10)</f>
        <v>512</v>
      </c>
      <c r="D11" s="8">
        <f t="shared" si="7"/>
        <v>528</v>
      </c>
      <c r="E11" s="8">
        <f t="shared" si="7"/>
        <v>554</v>
      </c>
      <c r="F11" s="8">
        <f t="shared" si="7"/>
        <v>576</v>
      </c>
      <c r="G11" s="8">
        <f t="shared" si="7"/>
        <v>600</v>
      </c>
      <c r="H11" s="8">
        <f t="shared" si="7"/>
        <v>625</v>
      </c>
      <c r="I11" s="8">
        <f t="shared" si="7"/>
        <v>651</v>
      </c>
      <c r="J11" s="8">
        <f t="shared" si="7"/>
        <v>678</v>
      </c>
      <c r="K11" s="8">
        <f t="shared" si="7"/>
        <v>705.99999999999989</v>
      </c>
      <c r="L11" s="8">
        <f t="shared" si="7"/>
        <v>735.99999999999989</v>
      </c>
      <c r="M11" s="8">
        <f t="shared" si="7"/>
        <v>766.99999999999989</v>
      </c>
      <c r="N11" s="8">
        <f t="shared" si="7"/>
        <v>798</v>
      </c>
      <c r="O11" s="8">
        <f t="shared" si="7"/>
        <v>831.99999999999989</v>
      </c>
      <c r="P11" s="8">
        <f t="shared" si="7"/>
        <v>865.99999999999989</v>
      </c>
      <c r="Q11" s="8">
        <f t="shared" si="7"/>
        <v>902</v>
      </c>
      <c r="R11" s="8">
        <f t="shared" si="7"/>
        <v>940</v>
      </c>
      <c r="S11" s="8">
        <f t="shared" si="7"/>
        <v>979</v>
      </c>
      <c r="T11" s="8">
        <f t="shared" si="7"/>
        <v>1019.9999999999999</v>
      </c>
      <c r="U11" s="8">
        <f t="shared" si="7"/>
        <v>1063</v>
      </c>
      <c r="V11" s="8">
        <f t="shared" si="7"/>
        <v>1107.8127450980394</v>
      </c>
      <c r="W11" s="8">
        <f t="shared" si="7"/>
        <v>1154.5146549404076</v>
      </c>
      <c r="X11" s="8">
        <f t="shared" si="7"/>
        <v>1203.1853707859348</v>
      </c>
      <c r="Y11" s="8">
        <f t="shared" si="7"/>
        <v>1253.9078913190674</v>
      </c>
      <c r="Z11" s="8">
        <f t="shared" si="7"/>
        <v>1306.7687141884005</v>
      </c>
      <c r="AA11" s="8">
        <f t="shared" si="7"/>
        <v>1364.9118608385509</v>
      </c>
      <c r="AB11" s="8">
        <f t="shared" si="7"/>
        <v>2019.5635430643795</v>
      </c>
      <c r="AC11" s="8">
        <f t="shared" si="7"/>
        <v>3149.8099439485281</v>
      </c>
    </row>
    <row r="12" spans="1:30" x14ac:dyDescent="0.2">
      <c r="A12" s="3" t="s">
        <v>6</v>
      </c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30" ht="15" x14ac:dyDescent="0.25">
      <c r="A13" s="5" t="s">
        <v>108</v>
      </c>
      <c r="B13" s="5" t="s">
        <v>107</v>
      </c>
      <c r="C13" s="6">
        <f>VLOOKUP($A$2,AR2008_Stats!$B$4:$O$15,AR2008_Stats!L$1,FALSE)</f>
        <v>7.4</v>
      </c>
      <c r="D13" s="64">
        <f>C13</f>
        <v>7.4</v>
      </c>
      <c r="E13" s="64">
        <f t="shared" ref="E13:T15" si="8">D13</f>
        <v>7.4</v>
      </c>
      <c r="F13" s="64">
        <f t="shared" si="8"/>
        <v>7.4</v>
      </c>
      <c r="G13" s="64">
        <f t="shared" si="8"/>
        <v>7.4</v>
      </c>
      <c r="H13" s="64">
        <f t="shared" si="8"/>
        <v>7.4</v>
      </c>
      <c r="I13" s="64">
        <f t="shared" si="8"/>
        <v>7.4</v>
      </c>
      <c r="J13" s="64">
        <f t="shared" si="8"/>
        <v>7.4</v>
      </c>
      <c r="K13" s="64">
        <f t="shared" si="8"/>
        <v>7.4</v>
      </c>
      <c r="L13" s="64">
        <f t="shared" si="8"/>
        <v>7.4</v>
      </c>
      <c r="M13" s="64">
        <f t="shared" si="8"/>
        <v>7.4</v>
      </c>
      <c r="N13" s="64">
        <f t="shared" si="8"/>
        <v>7.4</v>
      </c>
      <c r="O13" s="64">
        <f t="shared" si="8"/>
        <v>7.4</v>
      </c>
      <c r="P13" s="64">
        <f t="shared" si="8"/>
        <v>7.4</v>
      </c>
      <c r="Q13" s="64">
        <f t="shared" si="8"/>
        <v>7.4</v>
      </c>
      <c r="R13" s="64">
        <f t="shared" si="8"/>
        <v>7.4</v>
      </c>
      <c r="S13" s="64">
        <f t="shared" si="8"/>
        <v>7.4</v>
      </c>
      <c r="T13" s="64">
        <f t="shared" si="8"/>
        <v>7.4</v>
      </c>
      <c r="U13" s="64">
        <f t="shared" ref="U13:AA15" si="9">T13</f>
        <v>7.4</v>
      </c>
      <c r="V13" s="64">
        <f t="shared" si="9"/>
        <v>7.4</v>
      </c>
      <c r="W13" s="64">
        <f t="shared" si="9"/>
        <v>7.4</v>
      </c>
      <c r="X13" s="64">
        <f t="shared" si="9"/>
        <v>7.4</v>
      </c>
      <c r="Y13" s="64">
        <f t="shared" si="9"/>
        <v>7.4</v>
      </c>
      <c r="Z13" s="64">
        <f t="shared" si="9"/>
        <v>7.4</v>
      </c>
      <c r="AA13" s="64">
        <f t="shared" si="9"/>
        <v>7.4</v>
      </c>
    </row>
    <row r="14" spans="1:30" ht="15" x14ac:dyDescent="0.25">
      <c r="A14" s="5" t="s">
        <v>109</v>
      </c>
      <c r="B14" s="5"/>
      <c r="C14" s="6">
        <v>0</v>
      </c>
      <c r="D14" s="64">
        <f>C14</f>
        <v>0</v>
      </c>
      <c r="E14" s="64">
        <f t="shared" si="8"/>
        <v>0</v>
      </c>
      <c r="F14" s="64">
        <f t="shared" si="8"/>
        <v>0</v>
      </c>
      <c r="G14" s="64">
        <f t="shared" si="8"/>
        <v>0</v>
      </c>
      <c r="H14" s="64">
        <f t="shared" si="8"/>
        <v>0</v>
      </c>
      <c r="I14" s="64">
        <f t="shared" si="8"/>
        <v>0</v>
      </c>
      <c r="J14" s="64">
        <f t="shared" si="8"/>
        <v>0</v>
      </c>
      <c r="K14" s="64">
        <f t="shared" si="8"/>
        <v>0</v>
      </c>
      <c r="L14" s="64">
        <f t="shared" si="8"/>
        <v>0</v>
      </c>
      <c r="M14" s="64">
        <f t="shared" si="8"/>
        <v>0</v>
      </c>
      <c r="N14" s="64">
        <f t="shared" si="8"/>
        <v>0</v>
      </c>
      <c r="O14" s="64">
        <f t="shared" si="8"/>
        <v>0</v>
      </c>
      <c r="P14" s="64">
        <f t="shared" si="8"/>
        <v>0</v>
      </c>
      <c r="Q14" s="64">
        <f t="shared" si="8"/>
        <v>0</v>
      </c>
      <c r="R14" s="64">
        <f t="shared" si="8"/>
        <v>0</v>
      </c>
      <c r="S14" s="64">
        <f t="shared" si="8"/>
        <v>0</v>
      </c>
      <c r="T14" s="64">
        <f t="shared" si="8"/>
        <v>0</v>
      </c>
      <c r="U14" s="64">
        <f t="shared" si="9"/>
        <v>0</v>
      </c>
      <c r="V14" s="64">
        <f t="shared" si="9"/>
        <v>0</v>
      </c>
      <c r="W14" s="64">
        <f t="shared" si="9"/>
        <v>0</v>
      </c>
      <c r="X14" s="64">
        <f t="shared" si="9"/>
        <v>0</v>
      </c>
      <c r="Y14" s="64">
        <f t="shared" si="9"/>
        <v>0</v>
      </c>
      <c r="Z14" s="64">
        <f t="shared" si="9"/>
        <v>0</v>
      </c>
      <c r="AA14" s="64">
        <f t="shared" si="9"/>
        <v>0</v>
      </c>
    </row>
    <row r="15" spans="1:30" ht="15" x14ac:dyDescent="0.25">
      <c r="A15" s="5" t="s">
        <v>110</v>
      </c>
      <c r="B15" s="5"/>
      <c r="C15" s="6">
        <v>0</v>
      </c>
      <c r="D15" s="64">
        <f>C15</f>
        <v>0</v>
      </c>
      <c r="E15" s="64">
        <f t="shared" si="8"/>
        <v>0</v>
      </c>
      <c r="F15" s="64">
        <f t="shared" si="8"/>
        <v>0</v>
      </c>
      <c r="G15" s="64">
        <f t="shared" si="8"/>
        <v>0</v>
      </c>
      <c r="H15" s="64">
        <f t="shared" si="8"/>
        <v>0</v>
      </c>
      <c r="I15" s="64">
        <f t="shared" si="8"/>
        <v>0</v>
      </c>
      <c r="J15" s="64">
        <f t="shared" si="8"/>
        <v>0</v>
      </c>
      <c r="K15" s="64">
        <f t="shared" si="8"/>
        <v>0</v>
      </c>
      <c r="L15" s="64">
        <f t="shared" si="8"/>
        <v>0</v>
      </c>
      <c r="M15" s="64">
        <f t="shared" si="8"/>
        <v>0</v>
      </c>
      <c r="N15" s="64">
        <f t="shared" si="8"/>
        <v>0</v>
      </c>
      <c r="O15" s="64">
        <f t="shared" si="8"/>
        <v>0</v>
      </c>
      <c r="P15" s="64">
        <f t="shared" si="8"/>
        <v>0</v>
      </c>
      <c r="Q15" s="64">
        <f t="shared" si="8"/>
        <v>0</v>
      </c>
      <c r="R15" s="64">
        <f t="shared" si="8"/>
        <v>0</v>
      </c>
      <c r="S15" s="64">
        <f t="shared" si="8"/>
        <v>0</v>
      </c>
      <c r="T15" s="64">
        <f t="shared" si="8"/>
        <v>0</v>
      </c>
      <c r="U15" s="64">
        <f t="shared" si="9"/>
        <v>0</v>
      </c>
      <c r="V15" s="64">
        <f t="shared" si="9"/>
        <v>0</v>
      </c>
      <c r="W15" s="64">
        <f t="shared" si="9"/>
        <v>0</v>
      </c>
      <c r="X15" s="64">
        <f t="shared" si="9"/>
        <v>0</v>
      </c>
      <c r="Y15" s="64">
        <f t="shared" si="9"/>
        <v>0</v>
      </c>
      <c r="Z15" s="64">
        <f t="shared" si="9"/>
        <v>0</v>
      </c>
      <c r="AA15" s="64">
        <f t="shared" si="9"/>
        <v>0</v>
      </c>
    </row>
    <row r="16" spans="1:30" ht="15" x14ac:dyDescent="0.25">
      <c r="A16" s="5" t="s">
        <v>112</v>
      </c>
      <c r="B16" s="5"/>
      <c r="C16" s="6">
        <v>0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</row>
    <row r="17" spans="1:27" ht="15" x14ac:dyDescent="0.25">
      <c r="A17" s="5" t="s">
        <v>113</v>
      </c>
      <c r="B17" s="5"/>
      <c r="C17" s="6">
        <v>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</row>
    <row r="18" spans="1:27" ht="15" x14ac:dyDescent="0.25">
      <c r="A18" s="1" t="s">
        <v>111</v>
      </c>
      <c r="B18" s="5"/>
      <c r="C18" s="65">
        <f>SUM(C13:C17)</f>
        <v>7.4</v>
      </c>
      <c r="D18" s="65">
        <f t="shared" ref="D18:AA18" si="10">SUM(D13:D17)</f>
        <v>7.4</v>
      </c>
      <c r="E18" s="65">
        <f t="shared" si="10"/>
        <v>7.4</v>
      </c>
      <c r="F18" s="65">
        <f t="shared" si="10"/>
        <v>7.4</v>
      </c>
      <c r="G18" s="65">
        <f t="shared" si="10"/>
        <v>7.4</v>
      </c>
      <c r="H18" s="65">
        <f t="shared" si="10"/>
        <v>7.4</v>
      </c>
      <c r="I18" s="65">
        <f t="shared" si="10"/>
        <v>7.4</v>
      </c>
      <c r="J18" s="65">
        <f t="shared" si="10"/>
        <v>7.4</v>
      </c>
      <c r="K18" s="65">
        <f t="shared" si="10"/>
        <v>7.4</v>
      </c>
      <c r="L18" s="65">
        <f t="shared" si="10"/>
        <v>7.4</v>
      </c>
      <c r="M18" s="65">
        <f t="shared" si="10"/>
        <v>7.4</v>
      </c>
      <c r="N18" s="65">
        <f t="shared" si="10"/>
        <v>7.4</v>
      </c>
      <c r="O18" s="65">
        <f t="shared" si="10"/>
        <v>7.4</v>
      </c>
      <c r="P18" s="65">
        <f t="shared" si="10"/>
        <v>7.4</v>
      </c>
      <c r="Q18" s="65">
        <f t="shared" si="10"/>
        <v>7.4</v>
      </c>
      <c r="R18" s="65">
        <f t="shared" si="10"/>
        <v>7.4</v>
      </c>
      <c r="S18" s="65">
        <f t="shared" si="10"/>
        <v>7.4</v>
      </c>
      <c r="T18" s="65">
        <f t="shared" si="10"/>
        <v>7.4</v>
      </c>
      <c r="U18" s="65">
        <f t="shared" si="10"/>
        <v>7.4</v>
      </c>
      <c r="V18" s="65">
        <f t="shared" si="10"/>
        <v>7.4</v>
      </c>
      <c r="W18" s="65">
        <f t="shared" si="10"/>
        <v>7.4</v>
      </c>
      <c r="X18" s="65">
        <f t="shared" si="10"/>
        <v>7.4</v>
      </c>
      <c r="Y18" s="65">
        <f t="shared" si="10"/>
        <v>7.4</v>
      </c>
      <c r="Z18" s="65">
        <f t="shared" si="10"/>
        <v>7.4</v>
      </c>
      <c r="AA18" s="65">
        <f t="shared" si="10"/>
        <v>7.4</v>
      </c>
    </row>
    <row r="19" spans="1:27" ht="15" x14ac:dyDescent="0.25">
      <c r="A19" s="66" t="s">
        <v>116</v>
      </c>
      <c r="B19" s="66" t="s">
        <v>1</v>
      </c>
      <c r="C19" s="67">
        <f t="shared" ref="C19:AA19" si="11">C18+C11</f>
        <v>519.4</v>
      </c>
      <c r="D19" s="67">
        <f t="shared" si="11"/>
        <v>535.4</v>
      </c>
      <c r="E19" s="67">
        <f t="shared" si="11"/>
        <v>561.4</v>
      </c>
      <c r="F19" s="67">
        <f t="shared" si="11"/>
        <v>583.4</v>
      </c>
      <c r="G19" s="67">
        <f t="shared" si="11"/>
        <v>607.4</v>
      </c>
      <c r="H19" s="67">
        <f t="shared" si="11"/>
        <v>632.4</v>
      </c>
      <c r="I19" s="67">
        <f t="shared" si="11"/>
        <v>658.4</v>
      </c>
      <c r="J19" s="67">
        <f t="shared" si="11"/>
        <v>685.4</v>
      </c>
      <c r="K19" s="67">
        <f t="shared" si="11"/>
        <v>713.39999999999986</v>
      </c>
      <c r="L19" s="67">
        <f t="shared" si="11"/>
        <v>743.39999999999986</v>
      </c>
      <c r="M19" s="67">
        <f t="shared" si="11"/>
        <v>774.39999999999986</v>
      </c>
      <c r="N19" s="67">
        <f t="shared" si="11"/>
        <v>805.4</v>
      </c>
      <c r="O19" s="67">
        <f t="shared" si="11"/>
        <v>839.39999999999986</v>
      </c>
      <c r="P19" s="67">
        <f t="shared" si="11"/>
        <v>873.39999999999986</v>
      </c>
      <c r="Q19" s="67">
        <f t="shared" si="11"/>
        <v>909.4</v>
      </c>
      <c r="R19" s="67">
        <f t="shared" si="11"/>
        <v>947.4</v>
      </c>
      <c r="S19" s="67">
        <f t="shared" si="11"/>
        <v>986.4</v>
      </c>
      <c r="T19" s="67">
        <f t="shared" si="11"/>
        <v>1027.3999999999999</v>
      </c>
      <c r="U19" s="67">
        <f t="shared" si="11"/>
        <v>1070.4000000000001</v>
      </c>
      <c r="V19" s="67">
        <f t="shared" si="11"/>
        <v>1115.2127450980395</v>
      </c>
      <c r="W19" s="67">
        <f t="shared" si="11"/>
        <v>1161.9146549404077</v>
      </c>
      <c r="X19" s="67">
        <f t="shared" si="11"/>
        <v>1210.5853707859349</v>
      </c>
      <c r="Y19" s="67">
        <f t="shared" si="11"/>
        <v>1261.3078913190675</v>
      </c>
      <c r="Z19" s="67">
        <f t="shared" si="11"/>
        <v>1314.1687141884006</v>
      </c>
      <c r="AA19" s="67">
        <f t="shared" si="11"/>
        <v>1372.311860838551</v>
      </c>
    </row>
    <row r="20" spans="1:27" ht="15" x14ac:dyDescent="0.25">
      <c r="A20" s="3" t="s">
        <v>120</v>
      </c>
      <c r="B20" s="5" t="s">
        <v>1</v>
      </c>
      <c r="C20" s="6">
        <f>VLOOKUP($A$2,AR2008_Stats!$B$4:$O$15,AR2008_Stats!K$1,FALSE)</f>
        <v>49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 x14ac:dyDescent="0.25">
      <c r="A21" s="3" t="s">
        <v>121</v>
      </c>
      <c r="B21" s="5" t="s">
        <v>1</v>
      </c>
      <c r="C21" s="6">
        <f>VLOOKUP($A$2,AR2008_Stats!$B$4:$O$15,AR2008_Stats!J$1,FALSE)</f>
        <v>486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7" ht="15" x14ac:dyDescent="0.25">
      <c r="A22" s="66" t="s">
        <v>119</v>
      </c>
      <c r="B22" s="66" t="s">
        <v>1</v>
      </c>
      <c r="C22" s="67">
        <f>C21+C20</f>
        <v>535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7" x14ac:dyDescent="0.2">
      <c r="A23" s="3" t="s">
        <v>88</v>
      </c>
    </row>
    <row r="24" spans="1:27" ht="15" x14ac:dyDescent="0.25">
      <c r="A24" s="1" t="s">
        <v>76</v>
      </c>
      <c r="B24" s="5" t="s">
        <v>1</v>
      </c>
      <c r="C24" s="74">
        <f>VLOOKUP($A$2,'[1]Total Existing Capacity'!$A$3:$J$14,9,FALSE)</f>
        <v>414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7" x14ac:dyDescent="0.2">
      <c r="A25" s="1" t="s">
        <v>89</v>
      </c>
      <c r="B25" s="5"/>
      <c r="C25" s="30">
        <f>(C20+C24)/C11-1</f>
        <v>-9.5703125E-2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7" x14ac:dyDescent="0.2">
      <c r="A26" s="1" t="s">
        <v>90</v>
      </c>
      <c r="B26" s="5"/>
      <c r="C26" s="30">
        <f>(C20+C24-C13)/C11-1</f>
        <v>-0.11015624999999996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7" x14ac:dyDescent="0.2">
      <c r="A27" s="1" t="s">
        <v>91</v>
      </c>
      <c r="B27" s="5"/>
      <c r="C27" s="30">
        <f>C24/C11-1</f>
        <v>-0.19140625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7" x14ac:dyDescent="0.2">
      <c r="A28" s="1" t="s">
        <v>92</v>
      </c>
      <c r="B28" s="5"/>
      <c r="C28" s="30">
        <f>(C24-C13)/C11-1</f>
        <v>-0.20585937499999996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7" ht="15" x14ac:dyDescent="0.25">
      <c r="A29" s="1" t="s">
        <v>77</v>
      </c>
      <c r="B29" s="5" t="s">
        <v>1</v>
      </c>
      <c r="C29" s="74">
        <f>VLOOKUP($A$2,'[1]Total Existing Capacity'!$A$3:$J$14,10,FALSE)</f>
        <v>274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7" x14ac:dyDescent="0.2">
      <c r="A30" s="1" t="s">
        <v>93</v>
      </c>
      <c r="B30" s="5"/>
      <c r="C30" s="30">
        <f>C29/C11-1</f>
        <v>-0.46484375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7" x14ac:dyDescent="0.2">
      <c r="A31" s="1" t="s">
        <v>94</v>
      </c>
      <c r="B31" s="5"/>
      <c r="C31" s="30">
        <f>(C29-C13)/C11-1</f>
        <v>-0.47929687499999996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7" ht="15" x14ac:dyDescent="0.25">
      <c r="A32" s="1" t="s">
        <v>74</v>
      </c>
      <c r="B32" s="2" t="s">
        <v>10</v>
      </c>
      <c r="C32" s="27">
        <f>IF(B3="AR 2008",VLOOKUP($A$2,AR2008_Stats!$B$4:$O$15,AR2008_Stats!F$1,FALSE),C47)</f>
        <v>125</v>
      </c>
      <c r="D32" s="28">
        <f>D19/(D33*8.76)</f>
        <v>131.82196969696969</v>
      </c>
      <c r="E32" s="28">
        <f t="shared" ref="E32:Z32" si="12">E19/(E33*8.76)</f>
        <v>137.81660649819491</v>
      </c>
      <c r="F32" s="28">
        <f t="shared" si="12"/>
        <v>143.82430555555555</v>
      </c>
      <c r="G32" s="28">
        <f t="shared" si="12"/>
        <v>149.82533333333336</v>
      </c>
      <c r="H32" s="28">
        <f t="shared" si="12"/>
        <v>153.79968</v>
      </c>
      <c r="I32" s="28">
        <f t="shared" si="12"/>
        <v>157.77327188940092</v>
      </c>
      <c r="J32" s="28">
        <f t="shared" si="12"/>
        <v>161.74631268436579</v>
      </c>
      <c r="K32" s="28">
        <f t="shared" si="12"/>
        <v>166.72946175637389</v>
      </c>
      <c r="L32" s="28">
        <f t="shared" si="12"/>
        <v>170.69918478260865</v>
      </c>
      <c r="M32" s="28">
        <f t="shared" si="12"/>
        <v>175.67874837027375</v>
      </c>
      <c r="N32" s="28">
        <f t="shared" si="12"/>
        <v>179.65062656641604</v>
      </c>
      <c r="O32" s="28">
        <f t="shared" si="12"/>
        <v>184.62764423076922</v>
      </c>
      <c r="P32" s="28">
        <f t="shared" si="12"/>
        <v>189.60646651270204</v>
      </c>
      <c r="Q32" s="28">
        <f t="shared" si="12"/>
        <v>194.58337028824835</v>
      </c>
      <c r="R32" s="28">
        <f t="shared" si="12"/>
        <v>199.55872340425535</v>
      </c>
      <c r="S32" s="28">
        <f t="shared" si="12"/>
        <v>205.54198161389172</v>
      </c>
      <c r="T32" s="28">
        <f t="shared" si="12"/>
        <v>210.51627450980388</v>
      </c>
      <c r="U32" s="28">
        <f t="shared" si="12"/>
        <v>219.32705882352943</v>
      </c>
      <c r="V32" s="28">
        <f t="shared" si="12"/>
        <v>228.50927816224532</v>
      </c>
      <c r="W32" s="28">
        <f t="shared" si="12"/>
        <v>238.07859106131883</v>
      </c>
      <c r="X32" s="28">
        <f t="shared" si="12"/>
        <v>248.05131617084351</v>
      </c>
      <c r="Y32" s="28">
        <f t="shared" si="12"/>
        <v>258.44446008400502</v>
      </c>
      <c r="Z32" s="28">
        <f t="shared" si="12"/>
        <v>269.27574633860365</v>
      </c>
    </row>
    <row r="33" spans="1:27" ht="15" x14ac:dyDescent="0.25">
      <c r="A33" s="1" t="s">
        <v>7</v>
      </c>
      <c r="C33" s="14">
        <f>C19/(C32*8.76)</f>
        <v>0.47433789954337896</v>
      </c>
      <c r="D33" s="14">
        <f t="shared" ref="D33:T33" si="13">IF(B3="AR 2008",D49,D50)</f>
        <v>0.46364594309799789</v>
      </c>
      <c r="E33" s="14">
        <f t="shared" si="13"/>
        <v>0.46501477303250072</v>
      </c>
      <c r="F33" s="14">
        <f t="shared" si="13"/>
        <v>0.4630522863206637</v>
      </c>
      <c r="G33" s="14">
        <f t="shared" si="13"/>
        <v>0.46279155868196964</v>
      </c>
      <c r="H33" s="14">
        <f t="shared" si="13"/>
        <v>0.46938836818072577</v>
      </c>
      <c r="I33" s="14">
        <f t="shared" si="13"/>
        <v>0.47637864418686338</v>
      </c>
      <c r="J33" s="14">
        <f t="shared" si="13"/>
        <v>0.48373287671232879</v>
      </c>
      <c r="K33" s="14">
        <f t="shared" si="13"/>
        <v>0.48844610488446111</v>
      </c>
      <c r="L33" s="14">
        <f t="shared" si="13"/>
        <v>0.49714949609575532</v>
      </c>
      <c r="M33" s="14">
        <f t="shared" si="13"/>
        <v>0.50320159554925736</v>
      </c>
      <c r="N33" s="14">
        <f t="shared" si="13"/>
        <v>0.51177466523010617</v>
      </c>
      <c r="O33" s="14">
        <f t="shared" si="13"/>
        <v>0.51900092322279612</v>
      </c>
      <c r="P33" s="14">
        <f t="shared" si="13"/>
        <v>0.52584280579034304</v>
      </c>
      <c r="Q33" s="14">
        <f t="shared" si="13"/>
        <v>0.53351314264083094</v>
      </c>
      <c r="R33" s="14">
        <f t="shared" si="13"/>
        <v>0.54194917208615834</v>
      </c>
      <c r="S33" s="14">
        <f t="shared" si="13"/>
        <v>0.54783328856656821</v>
      </c>
      <c r="T33" s="14">
        <f t="shared" si="13"/>
        <v>0.55712132136068693</v>
      </c>
      <c r="U33" s="14">
        <f>T33</f>
        <v>0.55712132136068693</v>
      </c>
      <c r="V33" s="14">
        <f t="shared" ref="V33:Z33" si="14">U33</f>
        <v>0.55712132136068693</v>
      </c>
      <c r="W33" s="14">
        <f t="shared" si="14"/>
        <v>0.55712132136068693</v>
      </c>
      <c r="X33" s="14">
        <f t="shared" si="14"/>
        <v>0.55712132136068693</v>
      </c>
      <c r="Y33" s="14">
        <f t="shared" si="14"/>
        <v>0.55712132136068693</v>
      </c>
      <c r="Z33" s="14">
        <f t="shared" si="14"/>
        <v>0.55712132136068693</v>
      </c>
    </row>
    <row r="34" spans="1:27" ht="15" x14ac:dyDescent="0.25">
      <c r="A34" s="1" t="s">
        <v>8</v>
      </c>
      <c r="C34" s="15"/>
      <c r="D34" s="15">
        <f t="shared" ref="D34:J34" si="15">D32/C32-1</f>
        <v>5.45757575757575E-2</v>
      </c>
      <c r="E34" s="15">
        <f t="shared" si="15"/>
        <v>4.5475248283769476E-2</v>
      </c>
      <c r="F34" s="15">
        <f t="shared" si="15"/>
        <v>4.3591982200195334E-2</v>
      </c>
      <c r="G34" s="15">
        <f t="shared" si="15"/>
        <v>4.1724712346758119E-2</v>
      </c>
      <c r="H34" s="15">
        <f t="shared" si="15"/>
        <v>2.6526533118564455E-2</v>
      </c>
      <c r="I34" s="15">
        <f t="shared" si="15"/>
        <v>2.5836151865861634E-2</v>
      </c>
      <c r="J34" s="15">
        <f t="shared" si="15"/>
        <v>2.5181963632914695E-2</v>
      </c>
    </row>
    <row r="35" spans="1:27" ht="15" x14ac:dyDescent="0.25">
      <c r="A35" s="1" t="s">
        <v>75</v>
      </c>
      <c r="B35" s="2" t="s">
        <v>10</v>
      </c>
      <c r="C35" s="35">
        <f>IF(B3="AR 2008",C52,C53)</f>
        <v>73</v>
      </c>
      <c r="D35" s="15"/>
      <c r="E35" s="15"/>
      <c r="F35" s="15"/>
      <c r="G35" s="15"/>
      <c r="H35" s="15"/>
      <c r="I35" s="15"/>
      <c r="J35" s="15"/>
    </row>
    <row r="36" spans="1:27" s="1" customFormat="1" x14ac:dyDescent="0.2">
      <c r="A36" s="1" t="s">
        <v>81</v>
      </c>
      <c r="B36" s="1" t="s">
        <v>10</v>
      </c>
      <c r="C36" s="72">
        <f>MAX(0,C32-C35)</f>
        <v>52</v>
      </c>
      <c r="D36" s="77">
        <f>C20/(C33*8.76)</f>
        <v>11.79245283018868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1:27" ht="15" x14ac:dyDescent="0.25">
      <c r="A37" s="1" t="s">
        <v>79</v>
      </c>
      <c r="C37" s="15">
        <f>C35/C32-1</f>
        <v>-0.41600000000000004</v>
      </c>
      <c r="D37" s="34">
        <f>C37</f>
        <v>-0.41600000000000004</v>
      </c>
      <c r="E37" s="34">
        <f t="shared" ref="E37:AA37" si="16">D37</f>
        <v>-0.41600000000000004</v>
      </c>
      <c r="F37" s="34">
        <f t="shared" si="16"/>
        <v>-0.41600000000000004</v>
      </c>
      <c r="G37" s="34">
        <f t="shared" si="16"/>
        <v>-0.41600000000000004</v>
      </c>
      <c r="H37" s="34">
        <f t="shared" si="16"/>
        <v>-0.41600000000000004</v>
      </c>
      <c r="I37" s="34">
        <f t="shared" si="16"/>
        <v>-0.41600000000000004</v>
      </c>
      <c r="J37" s="34">
        <f t="shared" si="16"/>
        <v>-0.41600000000000004</v>
      </c>
      <c r="K37" s="34">
        <f t="shared" si="16"/>
        <v>-0.41600000000000004</v>
      </c>
      <c r="L37" s="34">
        <f t="shared" si="16"/>
        <v>-0.41600000000000004</v>
      </c>
      <c r="M37" s="34">
        <f t="shared" si="16"/>
        <v>-0.41600000000000004</v>
      </c>
      <c r="N37" s="34">
        <f t="shared" si="16"/>
        <v>-0.41600000000000004</v>
      </c>
      <c r="O37" s="34">
        <f t="shared" si="16"/>
        <v>-0.41600000000000004</v>
      </c>
      <c r="P37" s="34">
        <f t="shared" si="16"/>
        <v>-0.41600000000000004</v>
      </c>
      <c r="Q37" s="34">
        <f t="shared" si="16"/>
        <v>-0.41600000000000004</v>
      </c>
      <c r="R37" s="34">
        <f t="shared" si="16"/>
        <v>-0.41600000000000004</v>
      </c>
      <c r="S37" s="34">
        <f t="shared" si="16"/>
        <v>-0.41600000000000004</v>
      </c>
      <c r="T37" s="34">
        <f t="shared" si="16"/>
        <v>-0.41600000000000004</v>
      </c>
      <c r="U37" s="34">
        <f t="shared" si="16"/>
        <v>-0.41600000000000004</v>
      </c>
      <c r="V37" s="34">
        <f t="shared" si="16"/>
        <v>-0.41600000000000004</v>
      </c>
      <c r="W37" s="34">
        <f t="shared" si="16"/>
        <v>-0.41600000000000004</v>
      </c>
      <c r="X37" s="34">
        <f t="shared" si="16"/>
        <v>-0.41600000000000004</v>
      </c>
      <c r="Y37" s="34">
        <f t="shared" si="16"/>
        <v>-0.41600000000000004</v>
      </c>
      <c r="Z37" s="34">
        <f t="shared" si="16"/>
        <v>-0.41600000000000004</v>
      </c>
      <c r="AA37" s="34">
        <f t="shared" si="16"/>
        <v>-0.41600000000000004</v>
      </c>
    </row>
    <row r="38" spans="1:27" ht="15" x14ac:dyDescent="0.25">
      <c r="A38" s="1"/>
      <c r="C38" s="15"/>
      <c r="D38" s="15"/>
      <c r="E38" s="15"/>
      <c r="F38" s="15"/>
      <c r="G38" s="15"/>
      <c r="H38" s="15"/>
      <c r="I38" s="15"/>
      <c r="J38" s="15"/>
    </row>
    <row r="39" spans="1:27" ht="15" x14ac:dyDescent="0.25">
      <c r="A39" s="3" t="s">
        <v>78</v>
      </c>
      <c r="C39" s="15"/>
      <c r="D39" s="36"/>
      <c r="E39" s="36"/>
      <c r="F39" s="36"/>
      <c r="G39" s="36"/>
      <c r="H39" s="36"/>
      <c r="I39" s="35"/>
      <c r="J39" s="35"/>
    </row>
    <row r="40" spans="1:27" ht="15" x14ac:dyDescent="0.25">
      <c r="A40" s="1" t="s">
        <v>69</v>
      </c>
      <c r="B40" s="1" t="s">
        <v>1</v>
      </c>
      <c r="D40" s="23">
        <f>SUMIF(AR2008_EnergyProj!$A$3:$A$14,LES!$A$2,AR2008_EnergyProj!B$3:B$14)</f>
        <v>488</v>
      </c>
      <c r="E40" s="23">
        <f>SUMIF(AR2008_EnergyProj!$A$3:$A$14,LES!$A$2,AR2008_EnergyProj!C$3:C$14)</f>
        <v>512</v>
      </c>
      <c r="F40" s="23">
        <f>SUMIF(AR2008_EnergyProj!$A$3:$A$14,LES!$A$2,AR2008_EnergyProj!D$3:D$14)</f>
        <v>538</v>
      </c>
      <c r="G40" s="23">
        <f>SUMIF(AR2008_EnergyProj!$A$3:$A$14,LES!$A$2,AR2008_EnergyProj!E$3:E$14)</f>
        <v>556</v>
      </c>
      <c r="H40" s="23">
        <f>SUMIF(AR2008_EnergyProj!$A$3:$A$14,LES!$A$2,AR2008_EnergyProj!F$3:F$14)</f>
        <v>580</v>
      </c>
      <c r="I40" s="23">
        <f>SUMIF(AR2008_EnergyProj!$A$3:$A$14,LES!$A$2,AR2008_EnergyProj!G$3:G$14)</f>
        <v>605</v>
      </c>
      <c r="J40" s="23">
        <f>SUMIF(AR2008_EnergyProj!$A$3:$A$14,LES!$A$2,AR2008_EnergyProj!H$3:H$14)</f>
        <v>631</v>
      </c>
      <c r="K40" s="23">
        <f>SUMIF(AR2008_EnergyProj!$A$3:$A$14,LES!$A$2,AR2008_EnergyProj!I$3:I$14)</f>
        <v>658</v>
      </c>
      <c r="L40" s="23">
        <f>SUMIF(AR2008_EnergyProj!$A$3:$A$14,LES!$A$2,AR2008_EnergyProj!J$3:J$14)</f>
        <v>687</v>
      </c>
      <c r="M40" s="23">
        <f>SUMIF(AR2008_EnergyProj!$A$3:$A$14,LES!$A$2,AR2008_EnergyProj!K$3:K$14)</f>
        <v>716</v>
      </c>
      <c r="N40" s="23">
        <f>SUMIF(AR2008_EnergyProj!$A$3:$A$14,LES!$A$2,AR2008_EnergyProj!L$3:L$14)</f>
        <v>747</v>
      </c>
      <c r="O40" s="23">
        <f>SUMIF(AR2008_EnergyProj!$A$3:$A$14,LES!$A$2,AR2008_EnergyProj!M$3:M$14)</f>
        <v>779</v>
      </c>
      <c r="P40" s="23">
        <f>SUMIF(AR2008_EnergyProj!$A$3:$A$14,LES!$A$2,AR2008_EnergyProj!N$3:N$14)</f>
        <v>813</v>
      </c>
      <c r="Q40" s="23">
        <f>SUMIF(AR2008_EnergyProj!$A$3:$A$14,LES!$A$2,AR2008_EnergyProj!O$3:O$14)</f>
        <v>847</v>
      </c>
      <c r="R40" s="23">
        <f>SUMIF(AR2008_EnergyProj!$A$3:$A$14,LES!$A$2,AR2008_EnergyProj!P$3:P$14)</f>
        <v>884</v>
      </c>
      <c r="S40" s="23">
        <f>SUMIF(AR2008_EnergyProj!$A$3:$A$14,LES!$A$2,AR2008_EnergyProj!Q$3:Q$14)</f>
        <v>922</v>
      </c>
      <c r="T40" s="23">
        <f>SUMIF(AR2008_EnergyProj!$A$3:$A$14,LES!$A$2,AR2008_EnergyProj!R$3:R$14)</f>
        <v>962</v>
      </c>
    </row>
    <row r="41" spans="1:27" ht="15" x14ac:dyDescent="0.25">
      <c r="A41" s="1" t="s">
        <v>11</v>
      </c>
      <c r="B41" s="1"/>
      <c r="D41" s="26">
        <f>VLOOKUP($A$2,AR2008_Stats!$B$4:$O$15,AR2008_Stats!I$1,FALSE)/100</f>
        <v>0.121</v>
      </c>
      <c r="E41" s="18">
        <f>E40/D40-1</f>
        <v>4.9180327868852514E-2</v>
      </c>
      <c r="F41" s="18">
        <f t="shared" ref="F41:T41" si="17">F40/E40-1</f>
        <v>5.078125E-2</v>
      </c>
      <c r="G41" s="18">
        <f t="shared" si="17"/>
        <v>3.3457249070631967E-2</v>
      </c>
      <c r="H41" s="18">
        <f t="shared" si="17"/>
        <v>4.3165467625899234E-2</v>
      </c>
      <c r="I41" s="18">
        <f t="shared" si="17"/>
        <v>4.31034482758621E-2</v>
      </c>
      <c r="J41" s="18">
        <f t="shared" si="17"/>
        <v>4.2975206611570282E-2</v>
      </c>
      <c r="K41" s="18">
        <f t="shared" si="17"/>
        <v>4.2789223454833492E-2</v>
      </c>
      <c r="L41" s="18">
        <f t="shared" si="17"/>
        <v>4.407294832826758E-2</v>
      </c>
      <c r="M41" s="18">
        <f t="shared" si="17"/>
        <v>4.2212518195051008E-2</v>
      </c>
      <c r="N41" s="18">
        <f t="shared" si="17"/>
        <v>4.3296089385474801E-2</v>
      </c>
      <c r="O41" s="18">
        <f t="shared" si="17"/>
        <v>4.2838018741633288E-2</v>
      </c>
      <c r="P41" s="18">
        <f t="shared" si="17"/>
        <v>4.3645699614890843E-2</v>
      </c>
      <c r="Q41" s="18">
        <f t="shared" si="17"/>
        <v>4.1820418204182142E-2</v>
      </c>
      <c r="R41" s="18">
        <f t="shared" si="17"/>
        <v>4.3683589138134638E-2</v>
      </c>
      <c r="S41" s="18">
        <f t="shared" si="17"/>
        <v>4.2986425339366585E-2</v>
      </c>
      <c r="T41" s="18">
        <f t="shared" si="17"/>
        <v>4.3383947939262368E-2</v>
      </c>
      <c r="U41" s="4">
        <f>T41</f>
        <v>4.3383947939262368E-2</v>
      </c>
    </row>
    <row r="42" spans="1:27" ht="15" x14ac:dyDescent="0.25">
      <c r="A42" s="1" t="s">
        <v>40</v>
      </c>
      <c r="B42" s="1" t="s">
        <v>1</v>
      </c>
      <c r="C42" s="23">
        <f>SUMIF(PoolPlan_EnergyProj!$B$60:$B$71,LES!$A$2,PoolPlan_EnergyProj!D$60:D$71)</f>
        <v>512</v>
      </c>
      <c r="D42" s="23">
        <f>SUMIF(PoolPlan_EnergyProj!$B$60:$B$71,LES!$A$2,PoolPlan_EnergyProj!E$60:E$71)</f>
        <v>528</v>
      </c>
      <c r="E42" s="23">
        <f>SUMIF(PoolPlan_EnergyProj!$B$60:$B$71,LES!$A$2,PoolPlan_EnergyProj!F$60:F$71)</f>
        <v>554</v>
      </c>
      <c r="F42" s="23">
        <f>SUMIF(PoolPlan_EnergyProj!$B$60:$B$71,LES!$A$2,PoolPlan_EnergyProj!G$60:G$71)</f>
        <v>576</v>
      </c>
      <c r="G42" s="23">
        <f>SUMIF(PoolPlan_EnergyProj!$B$60:$B$71,LES!$A$2,PoolPlan_EnergyProj!H$60:H$71)</f>
        <v>600</v>
      </c>
      <c r="H42" s="23">
        <f>SUMIF(PoolPlan_EnergyProj!$B$60:$B$71,LES!$A$2,PoolPlan_EnergyProj!I$60:I$71)</f>
        <v>625</v>
      </c>
      <c r="I42" s="23">
        <f>SUMIF(PoolPlan_EnergyProj!$B$60:$B$71,LES!$A$2,PoolPlan_EnergyProj!J$60:J$71)</f>
        <v>651</v>
      </c>
      <c r="J42" s="23">
        <f>SUMIF(PoolPlan_EnergyProj!$B$60:$B$71,LES!$A$2,PoolPlan_EnergyProj!K$60:K$71)</f>
        <v>678</v>
      </c>
      <c r="K42" s="23">
        <f>SUMIF(PoolPlan_EnergyProj!$B$60:$B$71,LES!$A$2,PoolPlan_EnergyProj!L$60:L$71)</f>
        <v>706</v>
      </c>
      <c r="L42" s="23">
        <f>SUMIF(PoolPlan_EnergyProj!$B$60:$B$71,LES!$A$2,PoolPlan_EnergyProj!M$60:M$71)</f>
        <v>736</v>
      </c>
      <c r="M42" s="23">
        <f>SUMIF(PoolPlan_EnergyProj!$B$60:$B$71,LES!$A$2,PoolPlan_EnergyProj!N$60:N$71)</f>
        <v>767</v>
      </c>
      <c r="N42" s="23">
        <f>SUMIF(PoolPlan_EnergyProj!$B$60:$B$71,LES!$A$2,PoolPlan_EnergyProj!O$60:O$71)</f>
        <v>798</v>
      </c>
      <c r="O42" s="23">
        <f>SUMIF(PoolPlan_EnergyProj!$B$60:$B$71,LES!$A$2,PoolPlan_EnergyProj!P$60:P$71)</f>
        <v>832</v>
      </c>
      <c r="P42" s="23">
        <f>SUMIF(PoolPlan_EnergyProj!$B$60:$B$71,LES!$A$2,PoolPlan_EnergyProj!Q$60:Q$71)</f>
        <v>866</v>
      </c>
      <c r="Q42" s="23">
        <f>SUMIF(PoolPlan_EnergyProj!$B$60:$B$71,LES!$A$2,PoolPlan_EnergyProj!R$60:R$71)</f>
        <v>902</v>
      </c>
      <c r="R42" s="23">
        <f>SUMIF(PoolPlan_EnergyProj!$B$60:$B$71,LES!$A$2,PoolPlan_EnergyProj!S$60:S$71)</f>
        <v>940</v>
      </c>
      <c r="S42" s="23">
        <f>SUMIF(PoolPlan_EnergyProj!$B$60:$B$71,LES!$A$2,PoolPlan_EnergyProj!T$60:T$71)</f>
        <v>979</v>
      </c>
      <c r="T42" s="23">
        <f>SUMIF(PoolPlan_EnergyProj!$B$60:$B$71,LES!$A$2,PoolPlan_EnergyProj!U$60:U$71)</f>
        <v>1020</v>
      </c>
      <c r="U42" s="23">
        <f>SUMIF(PoolPlan_EnergyProj!$B$60:$B$71,LES!$A$2,PoolPlan_EnergyProj!V$60:V$71)</f>
        <v>1063</v>
      </c>
      <c r="V42" s="23"/>
    </row>
    <row r="43" spans="1:27" x14ac:dyDescent="0.2">
      <c r="A43" s="1" t="s">
        <v>11</v>
      </c>
      <c r="B43" s="1"/>
      <c r="C43" s="16"/>
      <c r="D43" s="18">
        <f>D42/C42-1</f>
        <v>3.125E-2</v>
      </c>
      <c r="E43" s="18">
        <f t="shared" ref="E43:U43" si="18">E42/D42-1</f>
        <v>4.924242424242431E-2</v>
      </c>
      <c r="F43" s="18">
        <f t="shared" si="18"/>
        <v>3.971119133573997E-2</v>
      </c>
      <c r="G43" s="18">
        <f t="shared" si="18"/>
        <v>4.1666666666666741E-2</v>
      </c>
      <c r="H43" s="18">
        <f t="shared" si="18"/>
        <v>4.1666666666666741E-2</v>
      </c>
      <c r="I43" s="18">
        <f t="shared" si="18"/>
        <v>4.1600000000000081E-2</v>
      </c>
      <c r="J43" s="18">
        <f t="shared" si="18"/>
        <v>4.1474654377880116E-2</v>
      </c>
      <c r="K43" s="18">
        <f t="shared" si="18"/>
        <v>4.1297935103244754E-2</v>
      </c>
      <c r="L43" s="18">
        <f t="shared" si="18"/>
        <v>4.2492917847025469E-2</v>
      </c>
      <c r="M43" s="18">
        <f t="shared" si="18"/>
        <v>4.2119565217391353E-2</v>
      </c>
      <c r="N43" s="18">
        <f t="shared" si="18"/>
        <v>4.041720990873543E-2</v>
      </c>
      <c r="O43" s="18">
        <f t="shared" si="18"/>
        <v>4.2606516290726759E-2</v>
      </c>
      <c r="P43" s="18">
        <f t="shared" si="18"/>
        <v>4.0865384615384581E-2</v>
      </c>
      <c r="Q43" s="18">
        <f t="shared" si="18"/>
        <v>4.1570438799076292E-2</v>
      </c>
      <c r="R43" s="18">
        <f t="shared" si="18"/>
        <v>4.2128603104212958E-2</v>
      </c>
      <c r="S43" s="18">
        <f t="shared" si="18"/>
        <v>4.1489361702127692E-2</v>
      </c>
      <c r="T43" s="18">
        <f t="shared" si="18"/>
        <v>4.1879468845760881E-2</v>
      </c>
      <c r="U43" s="18">
        <f t="shared" si="18"/>
        <v>4.2156862745098111E-2</v>
      </c>
    </row>
    <row r="44" spans="1:27" x14ac:dyDescent="0.2">
      <c r="A44" s="1"/>
      <c r="B44" s="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7" ht="15" x14ac:dyDescent="0.25">
      <c r="A45" s="1" t="s">
        <v>9</v>
      </c>
      <c r="B45" s="1" t="s">
        <v>10</v>
      </c>
      <c r="C45"/>
      <c r="D45">
        <f>SUMIF(AR2008_PeakProj!$A$3:$A$14,LES!$A$2,AR2008_PeakProj!B$3:B$14)</f>
        <v>111</v>
      </c>
      <c r="E45">
        <f>SUMIF(AR2008_PeakProj!$A$3:$A$14,LES!$A$2,AR2008_PeakProj!C$3:C$14)</f>
        <v>117</v>
      </c>
      <c r="F45">
        <f>SUMIF(AR2008_PeakProj!$A$3:$A$14,LES!$A$2,AR2008_PeakProj!D$3:D$14)</f>
        <v>123</v>
      </c>
      <c r="G45">
        <f>SUMIF(AR2008_PeakProj!$A$3:$A$14,LES!$A$2,AR2008_PeakProj!E$3:E$14)</f>
        <v>127</v>
      </c>
      <c r="H45">
        <f>SUMIF(AR2008_PeakProj!$A$3:$A$14,LES!$A$2,AR2008_PeakProj!F$3:F$14)</f>
        <v>132</v>
      </c>
      <c r="I45">
        <f>SUMIF(AR2008_PeakProj!$A$3:$A$14,LES!$A$2,AR2008_PeakProj!G$3:G$14)</f>
        <v>138</v>
      </c>
      <c r="J45">
        <f>SUMIF(AR2008_PeakProj!$A$3:$A$14,LES!$A$2,AR2008_PeakProj!H$3:H$14)</f>
        <v>144</v>
      </c>
      <c r="K45">
        <f>SUMIF(AR2008_PeakProj!$A$3:$A$14,LES!$A$2,AR2008_PeakProj!I$3:I$14)</f>
        <v>150</v>
      </c>
      <c r="L45">
        <f>SUMIF(AR2008_PeakProj!$A$3:$A$14,LES!$A$2,AR2008_PeakProj!J$3:J$14)</f>
        <v>157</v>
      </c>
      <c r="M45">
        <f>SUMIF(AR2008_PeakProj!$A$3:$A$14,LES!$A$2,AR2008_PeakProj!K$3:K$14)</f>
        <v>163</v>
      </c>
      <c r="N45">
        <f>SUMIF(AR2008_PeakProj!$A$3:$A$14,LES!$A$2,AR2008_PeakProj!L$3:L$14)</f>
        <v>171</v>
      </c>
      <c r="O45">
        <f>SUMIF(AR2008_PeakProj!$A$3:$A$14,LES!$A$2,AR2008_PeakProj!M$3:M$14)</f>
        <v>178</v>
      </c>
      <c r="P45">
        <f>SUMIF(AR2008_PeakProj!$A$3:$A$14,LES!$A$2,AR2008_PeakProj!N$3:N$14)</f>
        <v>186</v>
      </c>
      <c r="Q45">
        <f>SUMIF(AR2008_PeakProj!$A$3:$A$14,LES!$A$2,AR2008_PeakProj!O$3:O$14)</f>
        <v>193</v>
      </c>
      <c r="R45">
        <f>SUMIF(AR2008_PeakProj!$A$3:$A$14,LES!$A$2,AR2008_PeakProj!P$3:P$14)</f>
        <v>202</v>
      </c>
      <c r="S45">
        <f>SUMIF(AR2008_PeakProj!$A$3:$A$14,LES!$A$2,AR2008_PeakProj!Q$3:Q$14)</f>
        <v>210</v>
      </c>
      <c r="T45">
        <f>SUMIF(AR2008_PeakProj!$A$3:$A$14,LES!$A$2,AR2008_PeakProj!R$3:R$14)</f>
        <v>220</v>
      </c>
      <c r="U45">
        <f>SUMIF(AR2008_PeakProj!$A$3:$A$14,LES!$A$2,AR2008_PeakProj!S$3:S$14)</f>
        <v>229</v>
      </c>
    </row>
    <row r="46" spans="1:27" x14ac:dyDescent="0.2">
      <c r="A46" s="1" t="s">
        <v>11</v>
      </c>
      <c r="B46" s="1" t="s">
        <v>12</v>
      </c>
      <c r="E46" s="18">
        <f>E45/D45-1</f>
        <v>5.4054054054053946E-2</v>
      </c>
      <c r="F46" s="18">
        <f t="shared" ref="F46:U46" si="19">F45/E45-1</f>
        <v>5.1282051282051322E-2</v>
      </c>
      <c r="G46" s="18">
        <f t="shared" si="19"/>
        <v>3.2520325203251987E-2</v>
      </c>
      <c r="H46" s="18">
        <f t="shared" si="19"/>
        <v>3.937007874015741E-2</v>
      </c>
      <c r="I46" s="18">
        <f t="shared" si="19"/>
        <v>4.5454545454545414E-2</v>
      </c>
      <c r="J46" s="18">
        <f t="shared" si="19"/>
        <v>4.3478260869565188E-2</v>
      </c>
      <c r="K46" s="18">
        <f t="shared" si="19"/>
        <v>4.1666666666666741E-2</v>
      </c>
      <c r="L46" s="18">
        <f t="shared" si="19"/>
        <v>4.6666666666666634E-2</v>
      </c>
      <c r="M46" s="18">
        <f t="shared" si="19"/>
        <v>3.8216560509554132E-2</v>
      </c>
      <c r="N46" s="18">
        <f t="shared" si="19"/>
        <v>4.9079754601226933E-2</v>
      </c>
      <c r="O46" s="18">
        <f t="shared" si="19"/>
        <v>4.0935672514619936E-2</v>
      </c>
      <c r="P46" s="18">
        <f t="shared" si="19"/>
        <v>4.4943820224719211E-2</v>
      </c>
      <c r="Q46" s="18">
        <f t="shared" si="19"/>
        <v>3.7634408602150504E-2</v>
      </c>
      <c r="R46" s="18">
        <f t="shared" si="19"/>
        <v>4.663212435233155E-2</v>
      </c>
      <c r="S46" s="18">
        <f t="shared" si="19"/>
        <v>3.9603960396039639E-2</v>
      </c>
      <c r="T46" s="18">
        <f t="shared" si="19"/>
        <v>4.7619047619047672E-2</v>
      </c>
      <c r="U46" s="18">
        <f t="shared" si="19"/>
        <v>4.0909090909091006E-2</v>
      </c>
    </row>
    <row r="47" spans="1:27" ht="15" x14ac:dyDescent="0.25">
      <c r="A47" s="1" t="s">
        <v>39</v>
      </c>
      <c r="B47" s="1" t="s">
        <v>10</v>
      </c>
      <c r="C47">
        <f>SUMIF(PoolPlan_PeakProj!$A$25:$A$36,LES!$A$2,PoolPlan_PeakProj!C$25:C$36)</f>
        <v>125</v>
      </c>
      <c r="D47">
        <f>SUMIF(PoolPlan_PeakProj!$A$25:$A$36,LES!$A$2,PoolPlan_PeakProj!D$25:D$36)</f>
        <v>130</v>
      </c>
      <c r="E47">
        <f>SUMIF(PoolPlan_PeakProj!$A$25:$A$36,LES!$A$2,PoolPlan_PeakProj!E$25:E$36)</f>
        <v>136</v>
      </c>
      <c r="F47">
        <f>SUMIF(PoolPlan_PeakProj!$A$25:$A$36,LES!$A$2,PoolPlan_PeakProj!F$25:F$36)</f>
        <v>142</v>
      </c>
      <c r="G47">
        <f>SUMIF(PoolPlan_PeakProj!$A$25:$A$36,LES!$A$2,PoolPlan_PeakProj!G$25:G$36)</f>
        <v>148</v>
      </c>
      <c r="H47">
        <f>SUMIF(PoolPlan_PeakProj!$A$25:$A$36,LES!$A$2,PoolPlan_PeakProj!H$25:H$36)</f>
        <v>152</v>
      </c>
      <c r="I47">
        <f>SUMIF(PoolPlan_PeakProj!$A$25:$A$36,LES!$A$2,PoolPlan_PeakProj!I$25:I$36)</f>
        <v>156</v>
      </c>
      <c r="J47">
        <f>SUMIF(PoolPlan_PeakProj!$A$25:$A$36,LES!$A$2,PoolPlan_PeakProj!J$25:J$36)</f>
        <v>160</v>
      </c>
      <c r="K47">
        <f>SUMIF(PoolPlan_PeakProj!$A$25:$A$36,LES!$A$2,PoolPlan_PeakProj!K$25:K$36)</f>
        <v>165</v>
      </c>
      <c r="L47">
        <f>SUMIF(PoolPlan_PeakProj!$A$25:$A$36,LES!$A$2,PoolPlan_PeakProj!L$25:L$36)</f>
        <v>169</v>
      </c>
      <c r="M47">
        <f>SUMIF(PoolPlan_PeakProj!$A$25:$A$36,LES!$A$2,PoolPlan_PeakProj!M$25:M$36)</f>
        <v>174</v>
      </c>
      <c r="N47">
        <f>SUMIF(PoolPlan_PeakProj!$A$25:$A$36,LES!$A$2,PoolPlan_PeakProj!N$25:N$36)</f>
        <v>178</v>
      </c>
      <c r="O47">
        <f>SUMIF(PoolPlan_PeakProj!$A$25:$A$36,LES!$A$2,PoolPlan_PeakProj!O$25:O$36)</f>
        <v>183</v>
      </c>
      <c r="P47">
        <f>SUMIF(PoolPlan_PeakProj!$A$25:$A$36,LES!$A$2,PoolPlan_PeakProj!P$25:P$36)</f>
        <v>188</v>
      </c>
      <c r="Q47">
        <f>SUMIF(PoolPlan_PeakProj!$A$25:$A$36,LES!$A$2,PoolPlan_PeakProj!Q$25:Q$36)</f>
        <v>193</v>
      </c>
      <c r="R47">
        <f>SUMIF(PoolPlan_PeakProj!$A$25:$A$36,LES!$A$2,PoolPlan_PeakProj!R$25:R$36)</f>
        <v>198</v>
      </c>
      <c r="S47">
        <f>SUMIF(PoolPlan_PeakProj!$A$25:$A$36,LES!$A$2,PoolPlan_PeakProj!S$25:S$36)</f>
        <v>204</v>
      </c>
      <c r="T47">
        <f>SUMIF(PoolPlan_PeakProj!$A$25:$A$36,LES!$A$2,PoolPlan_PeakProj!T$25:T$36)</f>
        <v>209</v>
      </c>
      <c r="U47">
        <f>SUMIF(PoolPlan_PeakProj!$A$25:$A$36,LES!$A$2,PoolPlan_PeakProj!U$25:U$36)</f>
        <v>215</v>
      </c>
    </row>
    <row r="48" spans="1:27" x14ac:dyDescent="0.2">
      <c r="A48" s="1" t="s">
        <v>11</v>
      </c>
      <c r="B48" s="1"/>
      <c r="D48" s="18">
        <f>D47/C47-1</f>
        <v>4.0000000000000036E-2</v>
      </c>
      <c r="E48" s="18">
        <f t="shared" ref="E48:U48" si="20">E47/D47-1</f>
        <v>4.6153846153846212E-2</v>
      </c>
      <c r="F48" s="18">
        <f t="shared" si="20"/>
        <v>4.4117647058823595E-2</v>
      </c>
      <c r="G48" s="18">
        <f t="shared" si="20"/>
        <v>4.2253521126760507E-2</v>
      </c>
      <c r="H48" s="18">
        <f t="shared" si="20"/>
        <v>2.7027027027026973E-2</v>
      </c>
      <c r="I48" s="18">
        <f t="shared" si="20"/>
        <v>2.6315789473684292E-2</v>
      </c>
      <c r="J48" s="18">
        <f t="shared" si="20"/>
        <v>2.564102564102555E-2</v>
      </c>
      <c r="K48" s="18">
        <f t="shared" si="20"/>
        <v>3.125E-2</v>
      </c>
      <c r="L48" s="18">
        <f t="shared" si="20"/>
        <v>2.4242424242424176E-2</v>
      </c>
      <c r="M48" s="18">
        <f t="shared" si="20"/>
        <v>2.9585798816567976E-2</v>
      </c>
      <c r="N48" s="18">
        <f t="shared" si="20"/>
        <v>2.2988505747126409E-2</v>
      </c>
      <c r="O48" s="18">
        <f t="shared" si="20"/>
        <v>2.8089887640449396E-2</v>
      </c>
      <c r="P48" s="18">
        <f t="shared" si="20"/>
        <v>2.732240437158473E-2</v>
      </c>
      <c r="Q48" s="18">
        <f t="shared" si="20"/>
        <v>2.659574468085113E-2</v>
      </c>
      <c r="R48" s="18">
        <f t="shared" si="20"/>
        <v>2.5906735751295429E-2</v>
      </c>
      <c r="S48" s="18">
        <f t="shared" si="20"/>
        <v>3.0303030303030276E-2</v>
      </c>
      <c r="T48" s="18">
        <f t="shared" si="20"/>
        <v>2.450980392156854E-2</v>
      </c>
      <c r="U48" s="18">
        <f t="shared" si="20"/>
        <v>2.8708133971291794E-2</v>
      </c>
    </row>
    <row r="49" spans="1:20" x14ac:dyDescent="0.2">
      <c r="A49" s="1" t="s">
        <v>70</v>
      </c>
      <c r="B49" s="1" t="s">
        <v>12</v>
      </c>
      <c r="D49" s="18">
        <f t="shared" ref="D49:T49" si="21">D40/(D45*8.76)</f>
        <v>0.50187173474844704</v>
      </c>
      <c r="E49" s="18">
        <f t="shared" si="21"/>
        <v>0.49955118448269131</v>
      </c>
      <c r="F49" s="18">
        <f t="shared" si="21"/>
        <v>0.49931321231020531</v>
      </c>
      <c r="G49" s="18">
        <f t="shared" si="21"/>
        <v>0.49976629633624564</v>
      </c>
      <c r="H49" s="18">
        <f t="shared" si="21"/>
        <v>0.50159125501591262</v>
      </c>
      <c r="I49" s="18">
        <f t="shared" si="21"/>
        <v>0.50046323870028464</v>
      </c>
      <c r="J49" s="18">
        <f t="shared" si="21"/>
        <v>0.50022196854388634</v>
      </c>
      <c r="K49" s="18">
        <f t="shared" si="21"/>
        <v>0.50076103500761038</v>
      </c>
      <c r="L49" s="18">
        <f t="shared" si="21"/>
        <v>0.49952011168309923</v>
      </c>
      <c r="M49" s="18">
        <f t="shared" si="21"/>
        <v>0.50144269826596077</v>
      </c>
      <c r="N49" s="18">
        <f t="shared" si="21"/>
        <v>0.49867820235520305</v>
      </c>
      <c r="O49" s="18">
        <f t="shared" si="21"/>
        <v>0.49958955415319894</v>
      </c>
      <c r="P49" s="18">
        <f t="shared" si="21"/>
        <v>0.49896892031226986</v>
      </c>
      <c r="Q49" s="18">
        <f t="shared" si="21"/>
        <v>0.50098185345541435</v>
      </c>
      <c r="R49" s="18">
        <f t="shared" si="21"/>
        <v>0.49957050499570504</v>
      </c>
      <c r="S49" s="18">
        <f t="shared" si="21"/>
        <v>0.50119591215481629</v>
      </c>
      <c r="T49" s="18">
        <f t="shared" si="21"/>
        <v>0.49916977999169782</v>
      </c>
    </row>
    <row r="50" spans="1:20" x14ac:dyDescent="0.2">
      <c r="A50" s="1" t="s">
        <v>41</v>
      </c>
      <c r="C50" s="18">
        <f t="shared" ref="C50:T50" si="22">C42/(C47*8.76)</f>
        <v>0.46757990867579907</v>
      </c>
      <c r="D50" s="18">
        <f t="shared" si="22"/>
        <v>0.46364594309799789</v>
      </c>
      <c r="E50" s="18">
        <f t="shared" si="22"/>
        <v>0.46501477303250072</v>
      </c>
      <c r="F50" s="18">
        <f t="shared" si="22"/>
        <v>0.4630522863206637</v>
      </c>
      <c r="G50" s="18">
        <f t="shared" si="22"/>
        <v>0.46279155868196964</v>
      </c>
      <c r="H50" s="18">
        <f t="shared" si="22"/>
        <v>0.46938836818072577</v>
      </c>
      <c r="I50" s="18">
        <f t="shared" si="22"/>
        <v>0.47637864418686338</v>
      </c>
      <c r="J50" s="18">
        <f t="shared" si="22"/>
        <v>0.48373287671232879</v>
      </c>
      <c r="K50" s="18">
        <f t="shared" si="22"/>
        <v>0.48844610488446111</v>
      </c>
      <c r="L50" s="18">
        <f t="shared" si="22"/>
        <v>0.49714949609575532</v>
      </c>
      <c r="M50" s="18">
        <f t="shared" si="22"/>
        <v>0.50320159554925736</v>
      </c>
      <c r="N50" s="18">
        <f t="shared" si="22"/>
        <v>0.51177466523010617</v>
      </c>
      <c r="O50" s="18">
        <f t="shared" si="22"/>
        <v>0.51900092322279612</v>
      </c>
      <c r="P50" s="18">
        <f t="shared" si="22"/>
        <v>0.52584280579034304</v>
      </c>
      <c r="Q50" s="18">
        <f t="shared" si="22"/>
        <v>0.53351314264083094</v>
      </c>
      <c r="R50" s="18">
        <f t="shared" si="22"/>
        <v>0.54194917208615834</v>
      </c>
      <c r="S50" s="18">
        <f t="shared" si="22"/>
        <v>0.54783328856656821</v>
      </c>
      <c r="T50" s="18">
        <f t="shared" si="22"/>
        <v>0.55712132136068693</v>
      </c>
    </row>
    <row r="51" spans="1:20" x14ac:dyDescent="0.2">
      <c r="A51" s="1" t="s">
        <v>114</v>
      </c>
      <c r="C51" s="18"/>
      <c r="D51" s="16">
        <f>D50/C50-1</f>
        <v>-8.4134615384614531E-3</v>
      </c>
      <c r="E51" s="16">
        <f t="shared" ref="E51:T51" si="23">E50/D50-1</f>
        <v>2.9523172905527861E-3</v>
      </c>
      <c r="F51" s="16">
        <f t="shared" si="23"/>
        <v>-4.2202674530941175E-3</v>
      </c>
      <c r="G51" s="16">
        <f t="shared" si="23"/>
        <v>-5.6306306306308507E-4</v>
      </c>
      <c r="H51" s="16">
        <f t="shared" si="23"/>
        <v>1.4254385964912242E-2</v>
      </c>
      <c r="I51" s="16">
        <f t="shared" si="23"/>
        <v>1.489230769230776E-2</v>
      </c>
      <c r="J51" s="16">
        <f t="shared" si="23"/>
        <v>1.5437788018433096E-2</v>
      </c>
      <c r="K51" s="16">
        <f t="shared" si="23"/>
        <v>9.7434522213284414E-3</v>
      </c>
      <c r="L51" s="16">
        <f t="shared" si="23"/>
        <v>1.7818529258930127E-2</v>
      </c>
      <c r="M51" s="16">
        <f t="shared" si="23"/>
        <v>1.2173600699650233E-2</v>
      </c>
      <c r="N51" s="16">
        <f t="shared" si="23"/>
        <v>1.7037047888314172E-2</v>
      </c>
      <c r="O51" s="16">
        <f t="shared" si="23"/>
        <v>1.4119999452182341E-2</v>
      </c>
      <c r="P51" s="16">
        <f t="shared" si="23"/>
        <v>1.3182794599018166E-2</v>
      </c>
      <c r="Q51" s="16">
        <f t="shared" si="23"/>
        <v>1.458674867474774E-2</v>
      </c>
      <c r="R51" s="16">
        <f t="shared" si="23"/>
        <v>1.5812224237944594E-2</v>
      </c>
      <c r="S51" s="16">
        <f t="shared" si="23"/>
        <v>1.0857321652065322E-2</v>
      </c>
      <c r="T51" s="16">
        <f t="shared" si="23"/>
        <v>1.6954122701125618E-2</v>
      </c>
    </row>
    <row r="52" spans="1:20" ht="15" x14ac:dyDescent="0.25">
      <c r="A52" s="1" t="s">
        <v>84</v>
      </c>
      <c r="B52" s="1" t="s">
        <v>10</v>
      </c>
      <c r="C52" s="38">
        <f>VLOOKUP($A$2,AR2008_Stats!$B$4:$O$15,AR2008_Stats!E$1,FALSE)</f>
        <v>70</v>
      </c>
    </row>
    <row r="53" spans="1:20" ht="15" x14ac:dyDescent="0.25">
      <c r="A53" s="1" t="s">
        <v>83</v>
      </c>
      <c r="B53" s="1" t="s">
        <v>10</v>
      </c>
      <c r="C53" s="74">
        <f>VLOOKUP($A$2,'[1]Total Existing Capacity'!$A$3:$J$14,5,FALSE)</f>
        <v>73</v>
      </c>
    </row>
    <row r="55" spans="1:20" x14ac:dyDescent="0.2">
      <c r="A55" s="3" t="s">
        <v>71</v>
      </c>
    </row>
    <row r="56" spans="1:20" x14ac:dyDescent="0.2">
      <c r="A56" s="2" t="s">
        <v>72</v>
      </c>
    </row>
    <row r="57" spans="1:20" x14ac:dyDescent="0.2">
      <c r="A57" s="2" t="s">
        <v>73</v>
      </c>
    </row>
    <row r="59" spans="1:20" x14ac:dyDescent="0.2">
      <c r="A59" s="3" t="s">
        <v>80</v>
      </c>
    </row>
    <row r="60" spans="1:20" ht="15" x14ac:dyDescent="0.25">
      <c r="A60" t="s">
        <v>13</v>
      </c>
      <c r="B60" s="2" t="s">
        <v>97</v>
      </c>
    </row>
    <row r="61" spans="1:20" ht="15" x14ac:dyDescent="0.25">
      <c r="A61" t="s">
        <v>14</v>
      </c>
      <c r="B61" s="2" t="s">
        <v>98</v>
      </c>
    </row>
    <row r="62" spans="1:20" ht="15" x14ac:dyDescent="0.25">
      <c r="A62" t="s">
        <v>15</v>
      </c>
      <c r="B62" s="2" t="s">
        <v>32</v>
      </c>
    </row>
    <row r="63" spans="1:20" ht="15" x14ac:dyDescent="0.25">
      <c r="A63" t="s">
        <v>16</v>
      </c>
      <c r="B63" s="2" t="s">
        <v>99</v>
      </c>
    </row>
    <row r="64" spans="1:20" ht="15" x14ac:dyDescent="0.25">
      <c r="A64" t="s">
        <v>17</v>
      </c>
      <c r="B64" s="2" t="s">
        <v>100</v>
      </c>
    </row>
    <row r="65" spans="1:2" ht="15" x14ac:dyDescent="0.25">
      <c r="A65" t="s">
        <v>18</v>
      </c>
      <c r="B65" s="2" t="s">
        <v>101</v>
      </c>
    </row>
    <row r="66" spans="1:2" ht="15" x14ac:dyDescent="0.25">
      <c r="A66" t="s">
        <v>19</v>
      </c>
      <c r="B66" s="2" t="s">
        <v>102</v>
      </c>
    </row>
    <row r="67" spans="1:2" ht="15" x14ac:dyDescent="0.25">
      <c r="A67" t="s">
        <v>21</v>
      </c>
      <c r="B67" s="2" t="s">
        <v>103</v>
      </c>
    </row>
    <row r="68" spans="1:2" ht="15" x14ac:dyDescent="0.25">
      <c r="A68" t="s">
        <v>22</v>
      </c>
      <c r="B68" s="2" t="s">
        <v>104</v>
      </c>
    </row>
    <row r="69" spans="1:2" ht="15" x14ac:dyDescent="0.25">
      <c r="A69" t="s">
        <v>23</v>
      </c>
      <c r="B69" s="2" t="s">
        <v>105</v>
      </c>
    </row>
    <row r="70" spans="1:2" ht="15" x14ac:dyDescent="0.25">
      <c r="A70" t="s">
        <v>24</v>
      </c>
      <c r="B70" s="2" t="s">
        <v>106</v>
      </c>
    </row>
    <row r="71" spans="1:2" ht="15" x14ac:dyDescent="0.25">
      <c r="A71" t="s">
        <v>20</v>
      </c>
      <c r="B71" s="2" t="s">
        <v>107</v>
      </c>
    </row>
  </sheetData>
  <dataValidations count="4">
    <dataValidation type="list" allowBlank="1" showInputMessage="1" showErrorMessage="1" sqref="B18">
      <formula1>$B$60:$B$71</formula1>
    </dataValidation>
    <dataValidation type="list" allowBlank="1" showInputMessage="1" showErrorMessage="1" sqref="B13:B17">
      <formula1>$B$60:$B$72</formula1>
    </dataValidation>
    <dataValidation type="list" allowBlank="1" showInputMessage="1" showErrorMessage="1" sqref="B3">
      <formula1>$A$56:$A$57</formula1>
    </dataValidation>
    <dataValidation type="list" allowBlank="1" showInputMessage="1" showErrorMessage="1" sqref="A2">
      <formula1>$A$60:$A$71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D71"/>
  <sheetViews>
    <sheetView workbookViewId="0"/>
  </sheetViews>
  <sheetFormatPr defaultRowHeight="12.75" x14ac:dyDescent="0.2"/>
  <cols>
    <col min="1" max="1" width="66.140625" style="2" customWidth="1"/>
    <col min="2" max="2" width="9.140625" style="2"/>
    <col min="3" max="26" width="11.28515625" style="2" bestFit="1" customWidth="1"/>
    <col min="27" max="27" width="9.85546875" style="2" customWidth="1"/>
    <col min="28" max="253" width="9.140625" style="2"/>
    <col min="254" max="254" width="66.140625" style="2" customWidth="1"/>
    <col min="255" max="257" width="9.140625" style="2"/>
    <col min="258" max="258" width="9.7109375" style="2" customWidth="1"/>
    <col min="259" max="282" width="11.28515625" style="2" bestFit="1" customWidth="1"/>
    <col min="283" max="509" width="9.140625" style="2"/>
    <col min="510" max="510" width="66.140625" style="2" customWidth="1"/>
    <col min="511" max="513" width="9.140625" style="2"/>
    <col min="514" max="514" width="9.7109375" style="2" customWidth="1"/>
    <col min="515" max="538" width="11.28515625" style="2" bestFit="1" customWidth="1"/>
    <col min="539" max="765" width="9.140625" style="2"/>
    <col min="766" max="766" width="66.140625" style="2" customWidth="1"/>
    <col min="767" max="769" width="9.140625" style="2"/>
    <col min="770" max="770" width="9.7109375" style="2" customWidth="1"/>
    <col min="771" max="794" width="11.28515625" style="2" bestFit="1" customWidth="1"/>
    <col min="795" max="1021" width="9.140625" style="2"/>
    <col min="1022" max="1022" width="66.140625" style="2" customWidth="1"/>
    <col min="1023" max="1025" width="9.140625" style="2"/>
    <col min="1026" max="1026" width="9.7109375" style="2" customWidth="1"/>
    <col min="1027" max="1050" width="11.28515625" style="2" bestFit="1" customWidth="1"/>
    <col min="1051" max="1277" width="9.140625" style="2"/>
    <col min="1278" max="1278" width="66.140625" style="2" customWidth="1"/>
    <col min="1279" max="1281" width="9.140625" style="2"/>
    <col min="1282" max="1282" width="9.7109375" style="2" customWidth="1"/>
    <col min="1283" max="1306" width="11.28515625" style="2" bestFit="1" customWidth="1"/>
    <col min="1307" max="1533" width="9.140625" style="2"/>
    <col min="1534" max="1534" width="66.140625" style="2" customWidth="1"/>
    <col min="1535" max="1537" width="9.140625" style="2"/>
    <col min="1538" max="1538" width="9.7109375" style="2" customWidth="1"/>
    <col min="1539" max="1562" width="11.28515625" style="2" bestFit="1" customWidth="1"/>
    <col min="1563" max="1789" width="9.140625" style="2"/>
    <col min="1790" max="1790" width="66.140625" style="2" customWidth="1"/>
    <col min="1791" max="1793" width="9.140625" style="2"/>
    <col min="1794" max="1794" width="9.7109375" style="2" customWidth="1"/>
    <col min="1795" max="1818" width="11.28515625" style="2" bestFit="1" customWidth="1"/>
    <col min="1819" max="2045" width="9.140625" style="2"/>
    <col min="2046" max="2046" width="66.140625" style="2" customWidth="1"/>
    <col min="2047" max="2049" width="9.140625" style="2"/>
    <col min="2050" max="2050" width="9.7109375" style="2" customWidth="1"/>
    <col min="2051" max="2074" width="11.28515625" style="2" bestFit="1" customWidth="1"/>
    <col min="2075" max="2301" width="9.140625" style="2"/>
    <col min="2302" max="2302" width="66.140625" style="2" customWidth="1"/>
    <col min="2303" max="2305" width="9.140625" style="2"/>
    <col min="2306" max="2306" width="9.7109375" style="2" customWidth="1"/>
    <col min="2307" max="2330" width="11.28515625" style="2" bestFit="1" customWidth="1"/>
    <col min="2331" max="2557" width="9.140625" style="2"/>
    <col min="2558" max="2558" width="66.140625" style="2" customWidth="1"/>
    <col min="2559" max="2561" width="9.140625" style="2"/>
    <col min="2562" max="2562" width="9.7109375" style="2" customWidth="1"/>
    <col min="2563" max="2586" width="11.28515625" style="2" bestFit="1" customWidth="1"/>
    <col min="2587" max="2813" width="9.140625" style="2"/>
    <col min="2814" max="2814" width="66.140625" style="2" customWidth="1"/>
    <col min="2815" max="2817" width="9.140625" style="2"/>
    <col min="2818" max="2818" width="9.7109375" style="2" customWidth="1"/>
    <col min="2819" max="2842" width="11.28515625" style="2" bestFit="1" customWidth="1"/>
    <col min="2843" max="3069" width="9.140625" style="2"/>
    <col min="3070" max="3070" width="66.140625" style="2" customWidth="1"/>
    <col min="3071" max="3073" width="9.140625" style="2"/>
    <col min="3074" max="3074" width="9.7109375" style="2" customWidth="1"/>
    <col min="3075" max="3098" width="11.28515625" style="2" bestFit="1" customWidth="1"/>
    <col min="3099" max="3325" width="9.140625" style="2"/>
    <col min="3326" max="3326" width="66.140625" style="2" customWidth="1"/>
    <col min="3327" max="3329" width="9.140625" style="2"/>
    <col min="3330" max="3330" width="9.7109375" style="2" customWidth="1"/>
    <col min="3331" max="3354" width="11.28515625" style="2" bestFit="1" customWidth="1"/>
    <col min="3355" max="3581" width="9.140625" style="2"/>
    <col min="3582" max="3582" width="66.140625" style="2" customWidth="1"/>
    <col min="3583" max="3585" width="9.140625" style="2"/>
    <col min="3586" max="3586" width="9.7109375" style="2" customWidth="1"/>
    <col min="3587" max="3610" width="11.28515625" style="2" bestFit="1" customWidth="1"/>
    <col min="3611" max="3837" width="9.140625" style="2"/>
    <col min="3838" max="3838" width="66.140625" style="2" customWidth="1"/>
    <col min="3839" max="3841" width="9.140625" style="2"/>
    <col min="3842" max="3842" width="9.7109375" style="2" customWidth="1"/>
    <col min="3843" max="3866" width="11.28515625" style="2" bestFit="1" customWidth="1"/>
    <col min="3867" max="4093" width="9.140625" style="2"/>
    <col min="4094" max="4094" width="66.140625" style="2" customWidth="1"/>
    <col min="4095" max="4097" width="9.140625" style="2"/>
    <col min="4098" max="4098" width="9.7109375" style="2" customWidth="1"/>
    <col min="4099" max="4122" width="11.28515625" style="2" bestFit="1" customWidth="1"/>
    <col min="4123" max="4349" width="9.140625" style="2"/>
    <col min="4350" max="4350" width="66.140625" style="2" customWidth="1"/>
    <col min="4351" max="4353" width="9.140625" style="2"/>
    <col min="4354" max="4354" width="9.7109375" style="2" customWidth="1"/>
    <col min="4355" max="4378" width="11.28515625" style="2" bestFit="1" customWidth="1"/>
    <col min="4379" max="4605" width="9.140625" style="2"/>
    <col min="4606" max="4606" width="66.140625" style="2" customWidth="1"/>
    <col min="4607" max="4609" width="9.140625" style="2"/>
    <col min="4610" max="4610" width="9.7109375" style="2" customWidth="1"/>
    <col min="4611" max="4634" width="11.28515625" style="2" bestFit="1" customWidth="1"/>
    <col min="4635" max="4861" width="9.140625" style="2"/>
    <col min="4862" max="4862" width="66.140625" style="2" customWidth="1"/>
    <col min="4863" max="4865" width="9.140625" style="2"/>
    <col min="4866" max="4866" width="9.7109375" style="2" customWidth="1"/>
    <col min="4867" max="4890" width="11.28515625" style="2" bestFit="1" customWidth="1"/>
    <col min="4891" max="5117" width="9.140625" style="2"/>
    <col min="5118" max="5118" width="66.140625" style="2" customWidth="1"/>
    <col min="5119" max="5121" width="9.140625" style="2"/>
    <col min="5122" max="5122" width="9.7109375" style="2" customWidth="1"/>
    <col min="5123" max="5146" width="11.28515625" style="2" bestFit="1" customWidth="1"/>
    <col min="5147" max="5373" width="9.140625" style="2"/>
    <col min="5374" max="5374" width="66.140625" style="2" customWidth="1"/>
    <col min="5375" max="5377" width="9.140625" style="2"/>
    <col min="5378" max="5378" width="9.7109375" style="2" customWidth="1"/>
    <col min="5379" max="5402" width="11.28515625" style="2" bestFit="1" customWidth="1"/>
    <col min="5403" max="5629" width="9.140625" style="2"/>
    <col min="5630" max="5630" width="66.140625" style="2" customWidth="1"/>
    <col min="5631" max="5633" width="9.140625" style="2"/>
    <col min="5634" max="5634" width="9.7109375" style="2" customWidth="1"/>
    <col min="5635" max="5658" width="11.28515625" style="2" bestFit="1" customWidth="1"/>
    <col min="5659" max="5885" width="9.140625" style="2"/>
    <col min="5886" max="5886" width="66.140625" style="2" customWidth="1"/>
    <col min="5887" max="5889" width="9.140625" style="2"/>
    <col min="5890" max="5890" width="9.7109375" style="2" customWidth="1"/>
    <col min="5891" max="5914" width="11.28515625" style="2" bestFit="1" customWidth="1"/>
    <col min="5915" max="6141" width="9.140625" style="2"/>
    <col min="6142" max="6142" width="66.140625" style="2" customWidth="1"/>
    <col min="6143" max="6145" width="9.140625" style="2"/>
    <col min="6146" max="6146" width="9.7109375" style="2" customWidth="1"/>
    <col min="6147" max="6170" width="11.28515625" style="2" bestFit="1" customWidth="1"/>
    <col min="6171" max="6397" width="9.140625" style="2"/>
    <col min="6398" max="6398" width="66.140625" style="2" customWidth="1"/>
    <col min="6399" max="6401" width="9.140625" style="2"/>
    <col min="6402" max="6402" width="9.7109375" style="2" customWidth="1"/>
    <col min="6403" max="6426" width="11.28515625" style="2" bestFit="1" customWidth="1"/>
    <col min="6427" max="6653" width="9.140625" style="2"/>
    <col min="6654" max="6654" width="66.140625" style="2" customWidth="1"/>
    <col min="6655" max="6657" width="9.140625" style="2"/>
    <col min="6658" max="6658" width="9.7109375" style="2" customWidth="1"/>
    <col min="6659" max="6682" width="11.28515625" style="2" bestFit="1" customWidth="1"/>
    <col min="6683" max="6909" width="9.140625" style="2"/>
    <col min="6910" max="6910" width="66.140625" style="2" customWidth="1"/>
    <col min="6911" max="6913" width="9.140625" style="2"/>
    <col min="6914" max="6914" width="9.7109375" style="2" customWidth="1"/>
    <col min="6915" max="6938" width="11.28515625" style="2" bestFit="1" customWidth="1"/>
    <col min="6939" max="7165" width="9.140625" style="2"/>
    <col min="7166" max="7166" width="66.140625" style="2" customWidth="1"/>
    <col min="7167" max="7169" width="9.140625" style="2"/>
    <col min="7170" max="7170" width="9.7109375" style="2" customWidth="1"/>
    <col min="7171" max="7194" width="11.28515625" style="2" bestFit="1" customWidth="1"/>
    <col min="7195" max="7421" width="9.140625" style="2"/>
    <col min="7422" max="7422" width="66.140625" style="2" customWidth="1"/>
    <col min="7423" max="7425" width="9.140625" style="2"/>
    <col min="7426" max="7426" width="9.7109375" style="2" customWidth="1"/>
    <col min="7427" max="7450" width="11.28515625" style="2" bestFit="1" customWidth="1"/>
    <col min="7451" max="7677" width="9.140625" style="2"/>
    <col min="7678" max="7678" width="66.140625" style="2" customWidth="1"/>
    <col min="7679" max="7681" width="9.140625" style="2"/>
    <col min="7682" max="7682" width="9.7109375" style="2" customWidth="1"/>
    <col min="7683" max="7706" width="11.28515625" style="2" bestFit="1" customWidth="1"/>
    <col min="7707" max="7933" width="9.140625" style="2"/>
    <col min="7934" max="7934" width="66.140625" style="2" customWidth="1"/>
    <col min="7935" max="7937" width="9.140625" style="2"/>
    <col min="7938" max="7938" width="9.7109375" style="2" customWidth="1"/>
    <col min="7939" max="7962" width="11.28515625" style="2" bestFit="1" customWidth="1"/>
    <col min="7963" max="8189" width="9.140625" style="2"/>
    <col min="8190" max="8190" width="66.140625" style="2" customWidth="1"/>
    <col min="8191" max="8193" width="9.140625" style="2"/>
    <col min="8194" max="8194" width="9.7109375" style="2" customWidth="1"/>
    <col min="8195" max="8218" width="11.28515625" style="2" bestFit="1" customWidth="1"/>
    <col min="8219" max="8445" width="9.140625" style="2"/>
    <col min="8446" max="8446" width="66.140625" style="2" customWidth="1"/>
    <col min="8447" max="8449" width="9.140625" style="2"/>
    <col min="8450" max="8450" width="9.7109375" style="2" customWidth="1"/>
    <col min="8451" max="8474" width="11.28515625" style="2" bestFit="1" customWidth="1"/>
    <col min="8475" max="8701" width="9.140625" style="2"/>
    <col min="8702" max="8702" width="66.140625" style="2" customWidth="1"/>
    <col min="8703" max="8705" width="9.140625" style="2"/>
    <col min="8706" max="8706" width="9.7109375" style="2" customWidth="1"/>
    <col min="8707" max="8730" width="11.28515625" style="2" bestFit="1" customWidth="1"/>
    <col min="8731" max="8957" width="9.140625" style="2"/>
    <col min="8958" max="8958" width="66.140625" style="2" customWidth="1"/>
    <col min="8959" max="8961" width="9.140625" style="2"/>
    <col min="8962" max="8962" width="9.7109375" style="2" customWidth="1"/>
    <col min="8963" max="8986" width="11.28515625" style="2" bestFit="1" customWidth="1"/>
    <col min="8987" max="9213" width="9.140625" style="2"/>
    <col min="9214" max="9214" width="66.140625" style="2" customWidth="1"/>
    <col min="9215" max="9217" width="9.140625" style="2"/>
    <col min="9218" max="9218" width="9.7109375" style="2" customWidth="1"/>
    <col min="9219" max="9242" width="11.28515625" style="2" bestFit="1" customWidth="1"/>
    <col min="9243" max="9469" width="9.140625" style="2"/>
    <col min="9470" max="9470" width="66.140625" style="2" customWidth="1"/>
    <col min="9471" max="9473" width="9.140625" style="2"/>
    <col min="9474" max="9474" width="9.7109375" style="2" customWidth="1"/>
    <col min="9475" max="9498" width="11.28515625" style="2" bestFit="1" customWidth="1"/>
    <col min="9499" max="9725" width="9.140625" style="2"/>
    <col min="9726" max="9726" width="66.140625" style="2" customWidth="1"/>
    <col min="9727" max="9729" width="9.140625" style="2"/>
    <col min="9730" max="9730" width="9.7109375" style="2" customWidth="1"/>
    <col min="9731" max="9754" width="11.28515625" style="2" bestFit="1" customWidth="1"/>
    <col min="9755" max="9981" width="9.140625" style="2"/>
    <col min="9982" max="9982" width="66.140625" style="2" customWidth="1"/>
    <col min="9983" max="9985" width="9.140625" style="2"/>
    <col min="9986" max="9986" width="9.7109375" style="2" customWidth="1"/>
    <col min="9987" max="10010" width="11.28515625" style="2" bestFit="1" customWidth="1"/>
    <col min="10011" max="10237" width="9.140625" style="2"/>
    <col min="10238" max="10238" width="66.140625" style="2" customWidth="1"/>
    <col min="10239" max="10241" width="9.140625" style="2"/>
    <col min="10242" max="10242" width="9.7109375" style="2" customWidth="1"/>
    <col min="10243" max="10266" width="11.28515625" style="2" bestFit="1" customWidth="1"/>
    <col min="10267" max="10493" width="9.140625" style="2"/>
    <col min="10494" max="10494" width="66.140625" style="2" customWidth="1"/>
    <col min="10495" max="10497" width="9.140625" style="2"/>
    <col min="10498" max="10498" width="9.7109375" style="2" customWidth="1"/>
    <col min="10499" max="10522" width="11.28515625" style="2" bestFit="1" customWidth="1"/>
    <col min="10523" max="10749" width="9.140625" style="2"/>
    <col min="10750" max="10750" width="66.140625" style="2" customWidth="1"/>
    <col min="10751" max="10753" width="9.140625" style="2"/>
    <col min="10754" max="10754" width="9.7109375" style="2" customWidth="1"/>
    <col min="10755" max="10778" width="11.28515625" style="2" bestFit="1" customWidth="1"/>
    <col min="10779" max="11005" width="9.140625" style="2"/>
    <col min="11006" max="11006" width="66.140625" style="2" customWidth="1"/>
    <col min="11007" max="11009" width="9.140625" style="2"/>
    <col min="11010" max="11010" width="9.7109375" style="2" customWidth="1"/>
    <col min="11011" max="11034" width="11.28515625" style="2" bestFit="1" customWidth="1"/>
    <col min="11035" max="11261" width="9.140625" style="2"/>
    <col min="11262" max="11262" width="66.140625" style="2" customWidth="1"/>
    <col min="11263" max="11265" width="9.140625" style="2"/>
    <col min="11266" max="11266" width="9.7109375" style="2" customWidth="1"/>
    <col min="11267" max="11290" width="11.28515625" style="2" bestFit="1" customWidth="1"/>
    <col min="11291" max="11517" width="9.140625" style="2"/>
    <col min="11518" max="11518" width="66.140625" style="2" customWidth="1"/>
    <col min="11519" max="11521" width="9.140625" style="2"/>
    <col min="11522" max="11522" width="9.7109375" style="2" customWidth="1"/>
    <col min="11523" max="11546" width="11.28515625" style="2" bestFit="1" customWidth="1"/>
    <col min="11547" max="11773" width="9.140625" style="2"/>
    <col min="11774" max="11774" width="66.140625" style="2" customWidth="1"/>
    <col min="11775" max="11777" width="9.140625" style="2"/>
    <col min="11778" max="11778" width="9.7109375" style="2" customWidth="1"/>
    <col min="11779" max="11802" width="11.28515625" style="2" bestFit="1" customWidth="1"/>
    <col min="11803" max="12029" width="9.140625" style="2"/>
    <col min="12030" max="12030" width="66.140625" style="2" customWidth="1"/>
    <col min="12031" max="12033" width="9.140625" style="2"/>
    <col min="12034" max="12034" width="9.7109375" style="2" customWidth="1"/>
    <col min="12035" max="12058" width="11.28515625" style="2" bestFit="1" customWidth="1"/>
    <col min="12059" max="12285" width="9.140625" style="2"/>
    <col min="12286" max="12286" width="66.140625" style="2" customWidth="1"/>
    <col min="12287" max="12289" width="9.140625" style="2"/>
    <col min="12290" max="12290" width="9.7109375" style="2" customWidth="1"/>
    <col min="12291" max="12314" width="11.28515625" style="2" bestFit="1" customWidth="1"/>
    <col min="12315" max="12541" width="9.140625" style="2"/>
    <col min="12542" max="12542" width="66.140625" style="2" customWidth="1"/>
    <col min="12543" max="12545" width="9.140625" style="2"/>
    <col min="12546" max="12546" width="9.7109375" style="2" customWidth="1"/>
    <col min="12547" max="12570" width="11.28515625" style="2" bestFit="1" customWidth="1"/>
    <col min="12571" max="12797" width="9.140625" style="2"/>
    <col min="12798" max="12798" width="66.140625" style="2" customWidth="1"/>
    <col min="12799" max="12801" width="9.140625" style="2"/>
    <col min="12802" max="12802" width="9.7109375" style="2" customWidth="1"/>
    <col min="12803" max="12826" width="11.28515625" style="2" bestFit="1" customWidth="1"/>
    <col min="12827" max="13053" width="9.140625" style="2"/>
    <col min="13054" max="13054" width="66.140625" style="2" customWidth="1"/>
    <col min="13055" max="13057" width="9.140625" style="2"/>
    <col min="13058" max="13058" width="9.7109375" style="2" customWidth="1"/>
    <col min="13059" max="13082" width="11.28515625" style="2" bestFit="1" customWidth="1"/>
    <col min="13083" max="13309" width="9.140625" style="2"/>
    <col min="13310" max="13310" width="66.140625" style="2" customWidth="1"/>
    <col min="13311" max="13313" width="9.140625" style="2"/>
    <col min="13314" max="13314" width="9.7109375" style="2" customWidth="1"/>
    <col min="13315" max="13338" width="11.28515625" style="2" bestFit="1" customWidth="1"/>
    <col min="13339" max="13565" width="9.140625" style="2"/>
    <col min="13566" max="13566" width="66.140625" style="2" customWidth="1"/>
    <col min="13567" max="13569" width="9.140625" style="2"/>
    <col min="13570" max="13570" width="9.7109375" style="2" customWidth="1"/>
    <col min="13571" max="13594" width="11.28515625" style="2" bestFit="1" customWidth="1"/>
    <col min="13595" max="13821" width="9.140625" style="2"/>
    <col min="13822" max="13822" width="66.140625" style="2" customWidth="1"/>
    <col min="13823" max="13825" width="9.140625" style="2"/>
    <col min="13826" max="13826" width="9.7109375" style="2" customWidth="1"/>
    <col min="13827" max="13850" width="11.28515625" style="2" bestFit="1" customWidth="1"/>
    <col min="13851" max="14077" width="9.140625" style="2"/>
    <col min="14078" max="14078" width="66.140625" style="2" customWidth="1"/>
    <col min="14079" max="14081" width="9.140625" style="2"/>
    <col min="14082" max="14082" width="9.7109375" style="2" customWidth="1"/>
    <col min="14083" max="14106" width="11.28515625" style="2" bestFit="1" customWidth="1"/>
    <col min="14107" max="14333" width="9.140625" style="2"/>
    <col min="14334" max="14334" width="66.140625" style="2" customWidth="1"/>
    <col min="14335" max="14337" width="9.140625" style="2"/>
    <col min="14338" max="14338" width="9.7109375" style="2" customWidth="1"/>
    <col min="14339" max="14362" width="11.28515625" style="2" bestFit="1" customWidth="1"/>
    <col min="14363" max="14589" width="9.140625" style="2"/>
    <col min="14590" max="14590" width="66.140625" style="2" customWidth="1"/>
    <col min="14591" max="14593" width="9.140625" style="2"/>
    <col min="14594" max="14594" width="9.7109375" style="2" customWidth="1"/>
    <col min="14595" max="14618" width="11.28515625" style="2" bestFit="1" customWidth="1"/>
    <col min="14619" max="14845" width="9.140625" style="2"/>
    <col min="14846" max="14846" width="66.140625" style="2" customWidth="1"/>
    <col min="14847" max="14849" width="9.140625" style="2"/>
    <col min="14850" max="14850" width="9.7109375" style="2" customWidth="1"/>
    <col min="14851" max="14874" width="11.28515625" style="2" bestFit="1" customWidth="1"/>
    <col min="14875" max="15101" width="9.140625" style="2"/>
    <col min="15102" max="15102" width="66.140625" style="2" customWidth="1"/>
    <col min="15103" max="15105" width="9.140625" style="2"/>
    <col min="15106" max="15106" width="9.7109375" style="2" customWidth="1"/>
    <col min="15107" max="15130" width="11.28515625" style="2" bestFit="1" customWidth="1"/>
    <col min="15131" max="15357" width="9.140625" style="2"/>
    <col min="15358" max="15358" width="66.140625" style="2" customWidth="1"/>
    <col min="15359" max="15361" width="9.140625" style="2"/>
    <col min="15362" max="15362" width="9.7109375" style="2" customWidth="1"/>
    <col min="15363" max="15386" width="11.28515625" style="2" bestFit="1" customWidth="1"/>
    <col min="15387" max="15613" width="9.140625" style="2"/>
    <col min="15614" max="15614" width="66.140625" style="2" customWidth="1"/>
    <col min="15615" max="15617" width="9.140625" style="2"/>
    <col min="15618" max="15618" width="9.7109375" style="2" customWidth="1"/>
    <col min="15619" max="15642" width="11.28515625" style="2" bestFit="1" customWidth="1"/>
    <col min="15643" max="15869" width="9.140625" style="2"/>
    <col min="15870" max="15870" width="66.140625" style="2" customWidth="1"/>
    <col min="15871" max="15873" width="9.140625" style="2"/>
    <col min="15874" max="15874" width="9.7109375" style="2" customWidth="1"/>
    <col min="15875" max="15898" width="11.28515625" style="2" bestFit="1" customWidth="1"/>
    <col min="15899" max="16125" width="9.140625" style="2"/>
    <col min="16126" max="16126" width="66.140625" style="2" customWidth="1"/>
    <col min="16127" max="16129" width="9.140625" style="2"/>
    <col min="16130" max="16130" width="9.7109375" style="2" customWidth="1"/>
    <col min="16131" max="16154" width="11.28515625" style="2" bestFit="1" customWidth="1"/>
    <col min="16155" max="16384" width="9.140625" style="2"/>
  </cols>
  <sheetData>
    <row r="1" spans="1:30" ht="20.25" thickBot="1" x14ac:dyDescent="0.35">
      <c r="A1" s="20" t="s">
        <v>117</v>
      </c>
    </row>
    <row r="2" spans="1:30" ht="15.75" thickTop="1" x14ac:dyDescent="0.25">
      <c r="A2" s="21" t="s">
        <v>17</v>
      </c>
      <c r="B2" s="31" t="s">
        <v>100</v>
      </c>
      <c r="C2" s="1">
        <v>2007</v>
      </c>
      <c r="D2" s="1">
        <v>2008</v>
      </c>
      <c r="E2" s="1">
        <v>2009</v>
      </c>
      <c r="F2" s="1">
        <v>2010</v>
      </c>
      <c r="G2" s="1">
        <v>2011</v>
      </c>
      <c r="H2" s="1">
        <v>2012</v>
      </c>
      <c r="I2" s="1">
        <v>2013</v>
      </c>
      <c r="J2" s="1">
        <v>2014</v>
      </c>
      <c r="K2" s="1">
        <v>2015</v>
      </c>
      <c r="L2" s="1">
        <v>2016</v>
      </c>
      <c r="M2" s="1">
        <v>2017</v>
      </c>
      <c r="N2" s="1">
        <v>2018</v>
      </c>
      <c r="O2" s="1">
        <v>2019</v>
      </c>
      <c r="P2" s="1">
        <v>2020</v>
      </c>
      <c r="Q2" s="1">
        <v>2021</v>
      </c>
      <c r="R2" s="1">
        <v>2022</v>
      </c>
      <c r="S2" s="1">
        <v>2023</v>
      </c>
      <c r="T2" s="1">
        <v>2024</v>
      </c>
      <c r="U2" s="1">
        <v>2025</v>
      </c>
      <c r="V2" s="1">
        <v>2026</v>
      </c>
      <c r="W2" s="1">
        <v>2027</v>
      </c>
      <c r="X2" s="1">
        <v>2028</v>
      </c>
      <c r="Y2" s="1">
        <v>2029</v>
      </c>
      <c r="Z2" s="1">
        <v>2030</v>
      </c>
      <c r="AA2" s="1">
        <v>2031</v>
      </c>
      <c r="AB2" s="2">
        <v>2040</v>
      </c>
      <c r="AC2" s="2">
        <v>2050</v>
      </c>
      <c r="AD2" s="2">
        <v>2060</v>
      </c>
    </row>
    <row r="3" spans="1:30" ht="15" x14ac:dyDescent="0.25">
      <c r="A3" s="3" t="s">
        <v>0</v>
      </c>
      <c r="B3" s="31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0" ht="15" x14ac:dyDescent="0.25">
      <c r="A4" s="1" t="s">
        <v>38</v>
      </c>
      <c r="C4" s="24"/>
      <c r="D4" s="32">
        <f t="shared" ref="D4:U4" si="0">IF($B$3="AR 2008",D41,D43)</f>
        <v>6.8441064638783189E-2</v>
      </c>
      <c r="E4" s="32">
        <f t="shared" si="0"/>
        <v>6.9750889679715211E-2</v>
      </c>
      <c r="F4" s="32">
        <f t="shared" si="0"/>
        <v>6.4537591483699197E-2</v>
      </c>
      <c r="G4" s="32">
        <f t="shared" si="0"/>
        <v>0.23187500000000005</v>
      </c>
      <c r="H4" s="32">
        <f t="shared" si="0"/>
        <v>4.7691527143582046E-2</v>
      </c>
      <c r="I4" s="32">
        <f t="shared" si="0"/>
        <v>4.5036319612590692E-2</v>
      </c>
      <c r="J4" s="32">
        <f t="shared" si="0"/>
        <v>4.4022242817423507E-2</v>
      </c>
      <c r="K4" s="32">
        <f t="shared" si="0"/>
        <v>4.1722148246781998E-2</v>
      </c>
      <c r="L4" s="32">
        <f t="shared" si="0"/>
        <v>4.0903280783979534E-2</v>
      </c>
      <c r="M4" s="32">
        <f t="shared" si="0"/>
        <v>3.9295947605403114E-2</v>
      </c>
      <c r="N4" s="32">
        <f t="shared" si="0"/>
        <v>3.8204017329657391E-2</v>
      </c>
      <c r="O4" s="32">
        <f t="shared" si="0"/>
        <v>3.7177541729893848E-2</v>
      </c>
      <c r="P4" s="32">
        <f t="shared" si="0"/>
        <v>3.621068032187269E-2</v>
      </c>
      <c r="Q4" s="32">
        <f t="shared" si="0"/>
        <v>3.5651253088598622E-2</v>
      </c>
      <c r="R4" s="32">
        <f t="shared" si="0"/>
        <v>2.9311520109066125E-2</v>
      </c>
      <c r="S4" s="32">
        <f t="shared" si="0"/>
        <v>2.9139072847682135E-2</v>
      </c>
      <c r="T4" s="32">
        <f t="shared" si="0"/>
        <v>2.9279279279279313E-2</v>
      </c>
      <c r="U4" s="32">
        <f t="shared" si="0"/>
        <v>2.938418255704911E-2</v>
      </c>
      <c r="V4" s="32">
        <f>U4</f>
        <v>2.938418255704911E-2</v>
      </c>
      <c r="W4" s="32">
        <f t="shared" ref="W4:Z4" si="1">V4</f>
        <v>2.938418255704911E-2</v>
      </c>
      <c r="X4" s="32">
        <f t="shared" si="1"/>
        <v>2.938418255704911E-2</v>
      </c>
      <c r="Y4" s="32">
        <f t="shared" si="1"/>
        <v>2.938418255704911E-2</v>
      </c>
      <c r="Z4" s="32">
        <f t="shared" si="1"/>
        <v>2.938418255704911E-2</v>
      </c>
      <c r="AA4" s="4">
        <f>AB4</f>
        <v>4.9999999999999996E-2</v>
      </c>
      <c r="AB4" s="18">
        <f>SUMIF(PoolPlan_EnergyProj!$Q$1:$AB$1,B2,PoolPlan_EnergyProj!$Q$29:$AB$29)</f>
        <v>4.9999999999999996E-2</v>
      </c>
      <c r="AC4" s="18">
        <f>SUMIF(PoolPlan_EnergyProj!$Q$1:$AB$1,B2,PoolPlan_EnergyProj!$Q$30:$AB$30)</f>
        <v>4.9999999999999989E-2</v>
      </c>
      <c r="AD4" s="86">
        <v>0</v>
      </c>
    </row>
    <row r="5" spans="1:30" ht="15" x14ac:dyDescent="0.25">
      <c r="A5" s="1" t="s">
        <v>115</v>
      </c>
      <c r="B5" s="5" t="s">
        <v>1</v>
      </c>
      <c r="C5" s="23">
        <f>C42*(1-C7)*(1-C10)</f>
        <v>1117.75</v>
      </c>
      <c r="D5" s="7">
        <f t="shared" ref="D5:AA5" si="2">C5*(1+D4)</f>
        <v>1194.25</v>
      </c>
      <c r="E5" s="7">
        <f t="shared" si="2"/>
        <v>1277.55</v>
      </c>
      <c r="F5" s="7">
        <f t="shared" si="2"/>
        <v>1359.9999999999998</v>
      </c>
      <c r="G5" s="7">
        <f t="shared" si="2"/>
        <v>1675.3499999999997</v>
      </c>
      <c r="H5" s="7">
        <f t="shared" si="2"/>
        <v>1755.2499999999998</v>
      </c>
      <c r="I5" s="7">
        <f t="shared" si="2"/>
        <v>1834.2999999999995</v>
      </c>
      <c r="J5" s="7">
        <f t="shared" si="2"/>
        <v>1915.0499999999995</v>
      </c>
      <c r="K5" s="7">
        <f t="shared" si="2"/>
        <v>1994.9499999999994</v>
      </c>
      <c r="L5" s="7">
        <f t="shared" si="2"/>
        <v>2076.5499999999993</v>
      </c>
      <c r="M5" s="7">
        <f t="shared" si="2"/>
        <v>2158.1499999999992</v>
      </c>
      <c r="N5" s="7">
        <f t="shared" si="2"/>
        <v>2240.5999999999995</v>
      </c>
      <c r="O5" s="7">
        <f t="shared" si="2"/>
        <v>2323.8999999999996</v>
      </c>
      <c r="P5" s="7">
        <f t="shared" si="2"/>
        <v>2408.0499999999997</v>
      </c>
      <c r="Q5" s="7">
        <f t="shared" si="2"/>
        <v>2493.8999999999996</v>
      </c>
      <c r="R5" s="7">
        <f t="shared" si="2"/>
        <v>2566.9999999999995</v>
      </c>
      <c r="S5" s="7">
        <f t="shared" si="2"/>
        <v>2641.7999999999997</v>
      </c>
      <c r="T5" s="7">
        <f t="shared" si="2"/>
        <v>2719.1499999999996</v>
      </c>
      <c r="U5" s="7">
        <f t="shared" si="2"/>
        <v>2799.0499999999997</v>
      </c>
      <c r="V5" s="7">
        <f t="shared" si="2"/>
        <v>2881.297796186308</v>
      </c>
      <c r="W5" s="7">
        <f t="shared" si="2"/>
        <v>2965.96237663067</v>
      </c>
      <c r="X5" s="7">
        <f t="shared" si="2"/>
        <v>3053.1147565629249</v>
      </c>
      <c r="Y5" s="7">
        <f t="shared" si="2"/>
        <v>3142.8280379373905</v>
      </c>
      <c r="Z5" s="7">
        <f t="shared" si="2"/>
        <v>3235.1774707495551</v>
      </c>
      <c r="AA5" s="7">
        <f t="shared" si="2"/>
        <v>3396.9363442870331</v>
      </c>
      <c r="AB5" s="7">
        <f>AA5*(1+AB4)^9</f>
        <v>5269.7631987753839</v>
      </c>
      <c r="AC5" s="7">
        <f>AB5*(1+AC4)^10</f>
        <v>8583.8889588747261</v>
      </c>
      <c r="AD5" s="7">
        <f>AC5*(1+AD4)^10</f>
        <v>8583.8889588747261</v>
      </c>
    </row>
    <row r="6" spans="1:30" ht="15" x14ac:dyDescent="0.25">
      <c r="A6" s="3" t="s">
        <v>2</v>
      </c>
      <c r="B6" s="5"/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30" ht="15" x14ac:dyDescent="0.25">
      <c r="A7" s="1" t="s">
        <v>3</v>
      </c>
      <c r="C7" s="71">
        <v>0</v>
      </c>
      <c r="D7" s="33">
        <f t="shared" ref="D7:Y7" si="3">C7</f>
        <v>0</v>
      </c>
      <c r="E7" s="33">
        <f t="shared" si="3"/>
        <v>0</v>
      </c>
      <c r="F7" s="33">
        <f t="shared" si="3"/>
        <v>0</v>
      </c>
      <c r="G7" s="33">
        <f t="shared" si="3"/>
        <v>0</v>
      </c>
      <c r="H7" s="33">
        <f t="shared" si="3"/>
        <v>0</v>
      </c>
      <c r="I7" s="33">
        <f t="shared" si="3"/>
        <v>0</v>
      </c>
      <c r="J7" s="33">
        <f t="shared" si="3"/>
        <v>0</v>
      </c>
      <c r="K7" s="33">
        <f t="shared" si="3"/>
        <v>0</v>
      </c>
      <c r="L7" s="33">
        <f t="shared" si="3"/>
        <v>0</v>
      </c>
      <c r="M7" s="33">
        <f t="shared" si="3"/>
        <v>0</v>
      </c>
      <c r="N7" s="33">
        <f t="shared" si="3"/>
        <v>0</v>
      </c>
      <c r="O7" s="33">
        <f t="shared" si="3"/>
        <v>0</v>
      </c>
      <c r="P7" s="33">
        <f t="shared" si="3"/>
        <v>0</v>
      </c>
      <c r="Q7" s="33">
        <f t="shared" si="3"/>
        <v>0</v>
      </c>
      <c r="R7" s="33">
        <f t="shared" si="3"/>
        <v>0</v>
      </c>
      <c r="S7" s="33">
        <f t="shared" si="3"/>
        <v>0</v>
      </c>
      <c r="T7" s="33">
        <f t="shared" si="3"/>
        <v>0</v>
      </c>
      <c r="U7" s="33">
        <f t="shared" si="3"/>
        <v>0</v>
      </c>
      <c r="V7" s="33">
        <f t="shared" si="3"/>
        <v>0</v>
      </c>
      <c r="W7" s="33">
        <f t="shared" si="3"/>
        <v>0</v>
      </c>
      <c r="X7" s="33">
        <f t="shared" si="3"/>
        <v>0</v>
      </c>
      <c r="Y7" s="33">
        <f t="shared" si="3"/>
        <v>0</v>
      </c>
      <c r="Z7" s="33">
        <f>Y7</f>
        <v>0</v>
      </c>
      <c r="AA7" s="33">
        <f t="shared" ref="AA7:AC7" si="4">Z7</f>
        <v>0</v>
      </c>
      <c r="AB7" s="33">
        <f t="shared" si="4"/>
        <v>0</v>
      </c>
      <c r="AC7" s="33">
        <f t="shared" si="4"/>
        <v>0</v>
      </c>
    </row>
    <row r="8" spans="1:30" ht="15" x14ac:dyDescent="0.25">
      <c r="A8" s="1" t="s">
        <v>96</v>
      </c>
      <c r="B8" s="5" t="s">
        <v>1</v>
      </c>
      <c r="C8" s="8">
        <f t="shared" ref="C8:AC8" si="5">C5/(1-C7)</f>
        <v>1117.75</v>
      </c>
      <c r="D8" s="8">
        <f t="shared" si="5"/>
        <v>1194.25</v>
      </c>
      <c r="E8" s="8">
        <f t="shared" si="5"/>
        <v>1277.55</v>
      </c>
      <c r="F8" s="8">
        <f t="shared" si="5"/>
        <v>1359.9999999999998</v>
      </c>
      <c r="G8" s="8">
        <f t="shared" si="5"/>
        <v>1675.3499999999997</v>
      </c>
      <c r="H8" s="8">
        <f t="shared" si="5"/>
        <v>1755.2499999999998</v>
      </c>
      <c r="I8" s="8">
        <f t="shared" si="5"/>
        <v>1834.2999999999995</v>
      </c>
      <c r="J8" s="8">
        <f t="shared" si="5"/>
        <v>1915.0499999999995</v>
      </c>
      <c r="K8" s="8">
        <f t="shared" si="5"/>
        <v>1994.9499999999994</v>
      </c>
      <c r="L8" s="8">
        <f t="shared" si="5"/>
        <v>2076.5499999999993</v>
      </c>
      <c r="M8" s="8">
        <f t="shared" si="5"/>
        <v>2158.1499999999992</v>
      </c>
      <c r="N8" s="8">
        <f t="shared" si="5"/>
        <v>2240.5999999999995</v>
      </c>
      <c r="O8" s="8">
        <f t="shared" si="5"/>
        <v>2323.8999999999996</v>
      </c>
      <c r="P8" s="8">
        <f t="shared" si="5"/>
        <v>2408.0499999999997</v>
      </c>
      <c r="Q8" s="8">
        <f t="shared" si="5"/>
        <v>2493.8999999999996</v>
      </c>
      <c r="R8" s="8">
        <f t="shared" si="5"/>
        <v>2566.9999999999995</v>
      </c>
      <c r="S8" s="8">
        <f t="shared" si="5"/>
        <v>2641.7999999999997</v>
      </c>
      <c r="T8" s="8">
        <f t="shared" si="5"/>
        <v>2719.1499999999996</v>
      </c>
      <c r="U8" s="8">
        <f t="shared" si="5"/>
        <v>2799.0499999999997</v>
      </c>
      <c r="V8" s="8">
        <f t="shared" si="5"/>
        <v>2881.297796186308</v>
      </c>
      <c r="W8" s="8">
        <f t="shared" si="5"/>
        <v>2965.96237663067</v>
      </c>
      <c r="X8" s="8">
        <f t="shared" si="5"/>
        <v>3053.1147565629249</v>
      </c>
      <c r="Y8" s="8">
        <f t="shared" si="5"/>
        <v>3142.8280379373905</v>
      </c>
      <c r="Z8" s="8">
        <f t="shared" si="5"/>
        <v>3235.1774707495551</v>
      </c>
      <c r="AA8" s="8">
        <f t="shared" si="5"/>
        <v>3396.9363442870331</v>
      </c>
      <c r="AB8" s="8">
        <f t="shared" si="5"/>
        <v>5269.7631987753839</v>
      </c>
      <c r="AC8" s="8">
        <f t="shared" si="5"/>
        <v>8583.8889588747261</v>
      </c>
    </row>
    <row r="9" spans="1:30" ht="15" x14ac:dyDescent="0.25">
      <c r="A9" s="3" t="s">
        <v>4</v>
      </c>
      <c r="B9" s="5"/>
      <c r="C9" s="11"/>
      <c r="D9" s="11"/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30" ht="15" x14ac:dyDescent="0.25">
      <c r="A10" s="1" t="s">
        <v>5</v>
      </c>
      <c r="C10" s="26">
        <v>0.15</v>
      </c>
      <c r="D10" s="32">
        <f>C10</f>
        <v>0.15</v>
      </c>
      <c r="E10" s="32">
        <f t="shared" ref="E10:AC10" si="6">D10</f>
        <v>0.15</v>
      </c>
      <c r="F10" s="32">
        <f t="shared" si="6"/>
        <v>0.15</v>
      </c>
      <c r="G10" s="32">
        <f t="shared" si="6"/>
        <v>0.15</v>
      </c>
      <c r="H10" s="32">
        <f t="shared" si="6"/>
        <v>0.15</v>
      </c>
      <c r="I10" s="32">
        <f t="shared" si="6"/>
        <v>0.15</v>
      </c>
      <c r="J10" s="32">
        <f t="shared" si="6"/>
        <v>0.15</v>
      </c>
      <c r="K10" s="32">
        <f t="shared" si="6"/>
        <v>0.15</v>
      </c>
      <c r="L10" s="32">
        <f t="shared" si="6"/>
        <v>0.15</v>
      </c>
      <c r="M10" s="32">
        <f t="shared" si="6"/>
        <v>0.15</v>
      </c>
      <c r="N10" s="32">
        <f t="shared" si="6"/>
        <v>0.15</v>
      </c>
      <c r="O10" s="32">
        <f t="shared" si="6"/>
        <v>0.15</v>
      </c>
      <c r="P10" s="32">
        <f t="shared" si="6"/>
        <v>0.15</v>
      </c>
      <c r="Q10" s="32">
        <f t="shared" si="6"/>
        <v>0.15</v>
      </c>
      <c r="R10" s="32">
        <f t="shared" si="6"/>
        <v>0.15</v>
      </c>
      <c r="S10" s="32">
        <f t="shared" si="6"/>
        <v>0.15</v>
      </c>
      <c r="T10" s="32">
        <f t="shared" si="6"/>
        <v>0.15</v>
      </c>
      <c r="U10" s="32">
        <f t="shared" si="6"/>
        <v>0.15</v>
      </c>
      <c r="V10" s="32">
        <f t="shared" si="6"/>
        <v>0.15</v>
      </c>
      <c r="W10" s="32">
        <f t="shared" si="6"/>
        <v>0.15</v>
      </c>
      <c r="X10" s="32">
        <f t="shared" si="6"/>
        <v>0.15</v>
      </c>
      <c r="Y10" s="32">
        <f t="shared" si="6"/>
        <v>0.15</v>
      </c>
      <c r="Z10" s="32">
        <f t="shared" si="6"/>
        <v>0.15</v>
      </c>
      <c r="AA10" s="32">
        <f t="shared" si="6"/>
        <v>0.15</v>
      </c>
      <c r="AB10" s="32">
        <f t="shared" si="6"/>
        <v>0.15</v>
      </c>
      <c r="AC10" s="32">
        <f t="shared" si="6"/>
        <v>0.15</v>
      </c>
    </row>
    <row r="11" spans="1:30" ht="15" x14ac:dyDescent="0.25">
      <c r="A11" s="1" t="s">
        <v>95</v>
      </c>
      <c r="B11" s="5" t="s">
        <v>1</v>
      </c>
      <c r="C11" s="8">
        <f t="shared" ref="C11:AC11" si="7">C8/(1-C10)</f>
        <v>1315</v>
      </c>
      <c r="D11" s="8">
        <f t="shared" si="7"/>
        <v>1405</v>
      </c>
      <c r="E11" s="8">
        <f t="shared" si="7"/>
        <v>1503</v>
      </c>
      <c r="F11" s="8">
        <f t="shared" si="7"/>
        <v>1599.9999999999998</v>
      </c>
      <c r="G11" s="8">
        <f t="shared" si="7"/>
        <v>1970.9999999999998</v>
      </c>
      <c r="H11" s="8">
        <f t="shared" si="7"/>
        <v>2065</v>
      </c>
      <c r="I11" s="8">
        <f t="shared" si="7"/>
        <v>2157.9999999999995</v>
      </c>
      <c r="J11" s="8">
        <f t="shared" si="7"/>
        <v>2252.9999999999995</v>
      </c>
      <c r="K11" s="8">
        <f t="shared" si="7"/>
        <v>2346.9999999999991</v>
      </c>
      <c r="L11" s="8">
        <f t="shared" si="7"/>
        <v>2442.9999999999991</v>
      </c>
      <c r="M11" s="8">
        <f t="shared" si="7"/>
        <v>2538.9999999999991</v>
      </c>
      <c r="N11" s="8">
        <f t="shared" si="7"/>
        <v>2635.9999999999995</v>
      </c>
      <c r="O11" s="8">
        <f t="shared" si="7"/>
        <v>2733.9999999999995</v>
      </c>
      <c r="P11" s="8">
        <f t="shared" si="7"/>
        <v>2832.9999999999995</v>
      </c>
      <c r="Q11" s="8">
        <f t="shared" si="7"/>
        <v>2933.9999999999995</v>
      </c>
      <c r="R11" s="8">
        <f t="shared" si="7"/>
        <v>3019.9999999999995</v>
      </c>
      <c r="S11" s="8">
        <f t="shared" si="7"/>
        <v>3107.9999999999995</v>
      </c>
      <c r="T11" s="8">
        <f t="shared" si="7"/>
        <v>3198.9999999999995</v>
      </c>
      <c r="U11" s="8">
        <f t="shared" si="7"/>
        <v>3292.9999999999995</v>
      </c>
      <c r="V11" s="8">
        <f t="shared" si="7"/>
        <v>3389.7621131603623</v>
      </c>
      <c r="W11" s="8">
        <f t="shared" si="7"/>
        <v>3489.3675019184352</v>
      </c>
      <c r="X11" s="8">
        <f t="shared" si="7"/>
        <v>3591.8997136034413</v>
      </c>
      <c r="Y11" s="8">
        <f t="shared" si="7"/>
        <v>3697.4447505145772</v>
      </c>
      <c r="Z11" s="8">
        <f t="shared" si="7"/>
        <v>3806.0911420583002</v>
      </c>
      <c r="AA11" s="8">
        <f t="shared" si="7"/>
        <v>3996.3956991612154</v>
      </c>
      <c r="AB11" s="8">
        <f t="shared" si="7"/>
        <v>6199.7214103239812</v>
      </c>
      <c r="AC11" s="8">
        <f t="shared" si="7"/>
        <v>10098.692892793795</v>
      </c>
    </row>
    <row r="12" spans="1:30" x14ac:dyDescent="0.2">
      <c r="A12" s="3" t="s">
        <v>6</v>
      </c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30" ht="15" x14ac:dyDescent="0.25">
      <c r="A13" s="5" t="s">
        <v>108</v>
      </c>
      <c r="B13" s="5"/>
      <c r="C13" s="6">
        <f>VLOOKUP($A$2,AR2008_Stats!$B$4:$O$15,AR2008_Stats!L$1,FALSE)</f>
        <v>0</v>
      </c>
      <c r="D13" s="64">
        <f>C13</f>
        <v>0</v>
      </c>
      <c r="E13" s="64">
        <f t="shared" ref="E13:T15" si="8">D13</f>
        <v>0</v>
      </c>
      <c r="F13" s="64">
        <f t="shared" si="8"/>
        <v>0</v>
      </c>
      <c r="G13" s="64">
        <f t="shared" si="8"/>
        <v>0</v>
      </c>
      <c r="H13" s="64">
        <f t="shared" si="8"/>
        <v>0</v>
      </c>
      <c r="I13" s="64">
        <f t="shared" si="8"/>
        <v>0</v>
      </c>
      <c r="J13" s="64">
        <f t="shared" si="8"/>
        <v>0</v>
      </c>
      <c r="K13" s="64">
        <f t="shared" si="8"/>
        <v>0</v>
      </c>
      <c r="L13" s="64">
        <f t="shared" si="8"/>
        <v>0</v>
      </c>
      <c r="M13" s="64">
        <f t="shared" si="8"/>
        <v>0</v>
      </c>
      <c r="N13" s="64">
        <f t="shared" si="8"/>
        <v>0</v>
      </c>
      <c r="O13" s="64">
        <f t="shared" si="8"/>
        <v>0</v>
      </c>
      <c r="P13" s="64">
        <f t="shared" si="8"/>
        <v>0</v>
      </c>
      <c r="Q13" s="64">
        <f t="shared" si="8"/>
        <v>0</v>
      </c>
      <c r="R13" s="64">
        <f t="shared" si="8"/>
        <v>0</v>
      </c>
      <c r="S13" s="64">
        <f t="shared" si="8"/>
        <v>0</v>
      </c>
      <c r="T13" s="64">
        <f t="shared" si="8"/>
        <v>0</v>
      </c>
      <c r="U13" s="64">
        <f t="shared" ref="U13:AA15" si="9">T13</f>
        <v>0</v>
      </c>
      <c r="V13" s="64">
        <f t="shared" si="9"/>
        <v>0</v>
      </c>
      <c r="W13" s="64">
        <f t="shared" si="9"/>
        <v>0</v>
      </c>
      <c r="X13" s="64">
        <f t="shared" si="9"/>
        <v>0</v>
      </c>
      <c r="Y13" s="64">
        <f t="shared" si="9"/>
        <v>0</v>
      </c>
      <c r="Z13" s="64">
        <f t="shared" si="9"/>
        <v>0</v>
      </c>
      <c r="AA13" s="64">
        <f t="shared" si="9"/>
        <v>0</v>
      </c>
    </row>
    <row r="14" spans="1:30" ht="15" x14ac:dyDescent="0.25">
      <c r="A14" s="5" t="s">
        <v>109</v>
      </c>
      <c r="B14" s="5"/>
      <c r="C14" s="6">
        <v>0</v>
      </c>
      <c r="D14" s="64">
        <f>C14</f>
        <v>0</v>
      </c>
      <c r="E14" s="64">
        <f t="shared" si="8"/>
        <v>0</v>
      </c>
      <c r="F14" s="64">
        <f t="shared" si="8"/>
        <v>0</v>
      </c>
      <c r="G14" s="64">
        <f t="shared" si="8"/>
        <v>0</v>
      </c>
      <c r="H14" s="64">
        <f t="shared" si="8"/>
        <v>0</v>
      </c>
      <c r="I14" s="64">
        <f t="shared" si="8"/>
        <v>0</v>
      </c>
      <c r="J14" s="64">
        <f t="shared" si="8"/>
        <v>0</v>
      </c>
      <c r="K14" s="64">
        <f t="shared" si="8"/>
        <v>0</v>
      </c>
      <c r="L14" s="64">
        <f t="shared" si="8"/>
        <v>0</v>
      </c>
      <c r="M14" s="64">
        <f t="shared" si="8"/>
        <v>0</v>
      </c>
      <c r="N14" s="64">
        <f t="shared" si="8"/>
        <v>0</v>
      </c>
      <c r="O14" s="64">
        <f t="shared" si="8"/>
        <v>0</v>
      </c>
      <c r="P14" s="64">
        <f t="shared" si="8"/>
        <v>0</v>
      </c>
      <c r="Q14" s="64">
        <f t="shared" si="8"/>
        <v>0</v>
      </c>
      <c r="R14" s="64">
        <f t="shared" si="8"/>
        <v>0</v>
      </c>
      <c r="S14" s="64">
        <f t="shared" si="8"/>
        <v>0</v>
      </c>
      <c r="T14" s="64">
        <f t="shared" si="8"/>
        <v>0</v>
      </c>
      <c r="U14" s="64">
        <f t="shared" si="9"/>
        <v>0</v>
      </c>
      <c r="V14" s="64">
        <f t="shared" si="9"/>
        <v>0</v>
      </c>
      <c r="W14" s="64">
        <f t="shared" si="9"/>
        <v>0</v>
      </c>
      <c r="X14" s="64">
        <f t="shared" si="9"/>
        <v>0</v>
      </c>
      <c r="Y14" s="64">
        <f t="shared" si="9"/>
        <v>0</v>
      </c>
      <c r="Z14" s="64">
        <f t="shared" si="9"/>
        <v>0</v>
      </c>
      <c r="AA14" s="64">
        <f t="shared" si="9"/>
        <v>0</v>
      </c>
    </row>
    <row r="15" spans="1:30" ht="15" x14ac:dyDescent="0.25">
      <c r="A15" s="5" t="s">
        <v>110</v>
      </c>
      <c r="B15" s="5"/>
      <c r="C15" s="6">
        <v>0</v>
      </c>
      <c r="D15" s="64">
        <f>C15</f>
        <v>0</v>
      </c>
      <c r="E15" s="64">
        <f t="shared" si="8"/>
        <v>0</v>
      </c>
      <c r="F15" s="64">
        <f t="shared" si="8"/>
        <v>0</v>
      </c>
      <c r="G15" s="64">
        <f t="shared" si="8"/>
        <v>0</v>
      </c>
      <c r="H15" s="64">
        <f t="shared" si="8"/>
        <v>0</v>
      </c>
      <c r="I15" s="64">
        <f t="shared" si="8"/>
        <v>0</v>
      </c>
      <c r="J15" s="64">
        <f t="shared" si="8"/>
        <v>0</v>
      </c>
      <c r="K15" s="64">
        <f t="shared" si="8"/>
        <v>0</v>
      </c>
      <c r="L15" s="64">
        <f t="shared" si="8"/>
        <v>0</v>
      </c>
      <c r="M15" s="64">
        <f t="shared" si="8"/>
        <v>0</v>
      </c>
      <c r="N15" s="64">
        <f t="shared" si="8"/>
        <v>0</v>
      </c>
      <c r="O15" s="64">
        <f t="shared" si="8"/>
        <v>0</v>
      </c>
      <c r="P15" s="64">
        <f t="shared" si="8"/>
        <v>0</v>
      </c>
      <c r="Q15" s="64">
        <f t="shared" si="8"/>
        <v>0</v>
      </c>
      <c r="R15" s="64">
        <f t="shared" si="8"/>
        <v>0</v>
      </c>
      <c r="S15" s="64">
        <f t="shared" si="8"/>
        <v>0</v>
      </c>
      <c r="T15" s="64">
        <f t="shared" si="8"/>
        <v>0</v>
      </c>
      <c r="U15" s="64">
        <f t="shared" si="9"/>
        <v>0</v>
      </c>
      <c r="V15" s="64">
        <f t="shared" si="9"/>
        <v>0</v>
      </c>
      <c r="W15" s="64">
        <f t="shared" si="9"/>
        <v>0</v>
      </c>
      <c r="X15" s="64">
        <f t="shared" si="9"/>
        <v>0</v>
      </c>
      <c r="Y15" s="64">
        <f t="shared" si="9"/>
        <v>0</v>
      </c>
      <c r="Z15" s="64">
        <f t="shared" si="9"/>
        <v>0</v>
      </c>
      <c r="AA15" s="64">
        <f t="shared" si="9"/>
        <v>0</v>
      </c>
    </row>
    <row r="16" spans="1:30" ht="15" x14ac:dyDescent="0.25">
      <c r="A16" s="5" t="s">
        <v>112</v>
      </c>
      <c r="B16" s="5"/>
      <c r="C16" s="6">
        <v>0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</row>
    <row r="17" spans="1:27" ht="15" x14ac:dyDescent="0.25">
      <c r="A17" s="5" t="s">
        <v>113</v>
      </c>
      <c r="B17" s="5"/>
      <c r="C17" s="6">
        <v>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</row>
    <row r="18" spans="1:27" ht="15" x14ac:dyDescent="0.25">
      <c r="A18" s="1" t="s">
        <v>111</v>
      </c>
      <c r="B18" s="5"/>
      <c r="C18" s="65">
        <f>SUM(C13:C17)</f>
        <v>0</v>
      </c>
      <c r="D18" s="65">
        <f t="shared" ref="D18:AA18" si="10">SUM(D13:D17)</f>
        <v>0</v>
      </c>
      <c r="E18" s="65">
        <f t="shared" si="10"/>
        <v>0</v>
      </c>
      <c r="F18" s="65">
        <f t="shared" si="10"/>
        <v>0</v>
      </c>
      <c r="G18" s="65">
        <f t="shared" si="10"/>
        <v>0</v>
      </c>
      <c r="H18" s="65">
        <f t="shared" si="10"/>
        <v>0</v>
      </c>
      <c r="I18" s="65">
        <f t="shared" si="10"/>
        <v>0</v>
      </c>
      <c r="J18" s="65">
        <f t="shared" si="10"/>
        <v>0</v>
      </c>
      <c r="K18" s="65">
        <f t="shared" si="10"/>
        <v>0</v>
      </c>
      <c r="L18" s="65">
        <f t="shared" si="10"/>
        <v>0</v>
      </c>
      <c r="M18" s="65">
        <f t="shared" si="10"/>
        <v>0</v>
      </c>
      <c r="N18" s="65">
        <f t="shared" si="10"/>
        <v>0</v>
      </c>
      <c r="O18" s="65">
        <f t="shared" si="10"/>
        <v>0</v>
      </c>
      <c r="P18" s="65">
        <f t="shared" si="10"/>
        <v>0</v>
      </c>
      <c r="Q18" s="65">
        <f t="shared" si="10"/>
        <v>0</v>
      </c>
      <c r="R18" s="65">
        <f t="shared" si="10"/>
        <v>0</v>
      </c>
      <c r="S18" s="65">
        <f t="shared" si="10"/>
        <v>0</v>
      </c>
      <c r="T18" s="65">
        <f t="shared" si="10"/>
        <v>0</v>
      </c>
      <c r="U18" s="65">
        <f t="shared" si="10"/>
        <v>0</v>
      </c>
      <c r="V18" s="65">
        <f t="shared" si="10"/>
        <v>0</v>
      </c>
      <c r="W18" s="65">
        <f t="shared" si="10"/>
        <v>0</v>
      </c>
      <c r="X18" s="65">
        <f t="shared" si="10"/>
        <v>0</v>
      </c>
      <c r="Y18" s="65">
        <f t="shared" si="10"/>
        <v>0</v>
      </c>
      <c r="Z18" s="65">
        <f t="shared" si="10"/>
        <v>0</v>
      </c>
      <c r="AA18" s="65">
        <f t="shared" si="10"/>
        <v>0</v>
      </c>
    </row>
    <row r="19" spans="1:27" ht="15" x14ac:dyDescent="0.25">
      <c r="A19" s="66" t="s">
        <v>116</v>
      </c>
      <c r="B19" s="66" t="s">
        <v>1</v>
      </c>
      <c r="C19" s="67">
        <f t="shared" ref="C19:AA19" si="11">C18+C11</f>
        <v>1315</v>
      </c>
      <c r="D19" s="67">
        <f t="shared" si="11"/>
        <v>1405</v>
      </c>
      <c r="E19" s="67">
        <f t="shared" si="11"/>
        <v>1503</v>
      </c>
      <c r="F19" s="67">
        <f t="shared" si="11"/>
        <v>1599.9999999999998</v>
      </c>
      <c r="G19" s="67">
        <f t="shared" si="11"/>
        <v>1970.9999999999998</v>
      </c>
      <c r="H19" s="67">
        <f t="shared" si="11"/>
        <v>2065</v>
      </c>
      <c r="I19" s="67">
        <f t="shared" si="11"/>
        <v>2157.9999999999995</v>
      </c>
      <c r="J19" s="67">
        <f t="shared" si="11"/>
        <v>2252.9999999999995</v>
      </c>
      <c r="K19" s="67">
        <f t="shared" si="11"/>
        <v>2346.9999999999991</v>
      </c>
      <c r="L19" s="67">
        <f t="shared" si="11"/>
        <v>2442.9999999999991</v>
      </c>
      <c r="M19" s="67">
        <f t="shared" si="11"/>
        <v>2538.9999999999991</v>
      </c>
      <c r="N19" s="67">
        <f t="shared" si="11"/>
        <v>2635.9999999999995</v>
      </c>
      <c r="O19" s="67">
        <f t="shared" si="11"/>
        <v>2733.9999999999995</v>
      </c>
      <c r="P19" s="67">
        <f t="shared" si="11"/>
        <v>2832.9999999999995</v>
      </c>
      <c r="Q19" s="67">
        <f t="shared" si="11"/>
        <v>2933.9999999999995</v>
      </c>
      <c r="R19" s="67">
        <f t="shared" si="11"/>
        <v>3019.9999999999995</v>
      </c>
      <c r="S19" s="67">
        <f t="shared" si="11"/>
        <v>3107.9999999999995</v>
      </c>
      <c r="T19" s="67">
        <f t="shared" si="11"/>
        <v>3198.9999999999995</v>
      </c>
      <c r="U19" s="67">
        <f t="shared" si="11"/>
        <v>3292.9999999999995</v>
      </c>
      <c r="V19" s="67">
        <f t="shared" si="11"/>
        <v>3389.7621131603623</v>
      </c>
      <c r="W19" s="67">
        <f t="shared" si="11"/>
        <v>3489.3675019184352</v>
      </c>
      <c r="X19" s="67">
        <f t="shared" si="11"/>
        <v>3591.8997136034413</v>
      </c>
      <c r="Y19" s="67">
        <f t="shared" si="11"/>
        <v>3697.4447505145772</v>
      </c>
      <c r="Z19" s="67">
        <f t="shared" si="11"/>
        <v>3806.0911420583002</v>
      </c>
      <c r="AA19" s="67">
        <f t="shared" si="11"/>
        <v>3996.3956991612154</v>
      </c>
    </row>
    <row r="20" spans="1:27" ht="15" x14ac:dyDescent="0.25">
      <c r="A20" s="3" t="s">
        <v>120</v>
      </c>
      <c r="B20" s="5" t="s">
        <v>1</v>
      </c>
      <c r="C20" s="6">
        <f>VLOOKUP($A$2,AR2008_Stats!$B$4:$O$15,AR2008_Stats!K$1,FALSE)</f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 x14ac:dyDescent="0.25">
      <c r="A21" s="3" t="s">
        <v>121</v>
      </c>
      <c r="B21" s="5" t="s">
        <v>1</v>
      </c>
      <c r="C21" s="6">
        <f>VLOOKUP($A$2,AR2008_Stats!$B$4:$O$15,AR2008_Stats!J$1,FALSE)</f>
        <v>1447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7" ht="15" x14ac:dyDescent="0.25">
      <c r="A22" s="66" t="s">
        <v>119</v>
      </c>
      <c r="B22" s="66" t="s">
        <v>1</v>
      </c>
      <c r="C22" s="67">
        <f>C21+C20</f>
        <v>1447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7" x14ac:dyDescent="0.2">
      <c r="A23" s="3" t="s">
        <v>88</v>
      </c>
    </row>
    <row r="24" spans="1:27" ht="15" x14ac:dyDescent="0.25">
      <c r="A24" s="1" t="s">
        <v>76</v>
      </c>
      <c r="B24" s="5" t="s">
        <v>1</v>
      </c>
      <c r="C24" s="74">
        <f>VLOOKUP($A$2,'[1]Total Existing Capacity'!$A$3:$J$14,9,FALSE)</f>
        <v>1643.5891687999999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7" x14ac:dyDescent="0.2">
      <c r="A25" s="1" t="s">
        <v>89</v>
      </c>
      <c r="B25" s="5"/>
      <c r="C25" s="30">
        <f>(C20+C24)/C11-1</f>
        <v>0.24987769490494283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7" x14ac:dyDescent="0.2">
      <c r="A26" s="1" t="s">
        <v>90</v>
      </c>
      <c r="B26" s="5"/>
      <c r="C26" s="30">
        <f>(C20+C24-C13)/C11-1</f>
        <v>0.24987769490494283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7" x14ac:dyDescent="0.2">
      <c r="A27" s="1" t="s">
        <v>91</v>
      </c>
      <c r="B27" s="5"/>
      <c r="C27" s="30">
        <f>C24/C11-1</f>
        <v>0.24987769490494283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7" x14ac:dyDescent="0.2">
      <c r="A28" s="1" t="s">
        <v>92</v>
      </c>
      <c r="B28" s="5"/>
      <c r="C28" s="30">
        <f>(C24-C13)/C11-1</f>
        <v>0.24987769490494283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7" ht="15" x14ac:dyDescent="0.25">
      <c r="A29" s="1" t="s">
        <v>77</v>
      </c>
      <c r="B29" s="5" t="s">
        <v>1</v>
      </c>
      <c r="C29" s="74">
        <f>VLOOKUP($A$2,'[1]Total Existing Capacity'!$A$3:$J$14,10,FALSE)</f>
        <v>1171.5891687999999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7" x14ac:dyDescent="0.2">
      <c r="A30" s="1" t="s">
        <v>93</v>
      </c>
      <c r="B30" s="5"/>
      <c r="C30" s="30">
        <f>C29/C11-1</f>
        <v>-0.10905766631178715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7" x14ac:dyDescent="0.2">
      <c r="A31" s="1" t="s">
        <v>94</v>
      </c>
      <c r="B31" s="5"/>
      <c r="C31" s="30">
        <f>(C29-C13)/C11-1</f>
        <v>-0.10905766631178715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7" ht="15" x14ac:dyDescent="0.25">
      <c r="A32" s="1" t="s">
        <v>74</v>
      </c>
      <c r="B32" s="2" t="s">
        <v>10</v>
      </c>
      <c r="C32" s="27">
        <f>IF(B3="AR 2008",VLOOKUP($A$2,AR2008_Stats!$B$4:$O$15,AR2008_Stats!F$1,FALSE),C47)</f>
        <v>251</v>
      </c>
      <c r="D32" s="28">
        <f>D19/(D33*8.76)</f>
        <v>268</v>
      </c>
      <c r="E32" s="28">
        <f t="shared" ref="E32:Z32" si="12">E19/(E33*8.76)</f>
        <v>287</v>
      </c>
      <c r="F32" s="28">
        <f t="shared" si="12"/>
        <v>305.99999999999994</v>
      </c>
      <c r="G32" s="28">
        <f t="shared" si="12"/>
        <v>375.99999999999994</v>
      </c>
      <c r="H32" s="28">
        <f t="shared" si="12"/>
        <v>394</v>
      </c>
      <c r="I32" s="28">
        <f t="shared" si="12"/>
        <v>411.99999999999994</v>
      </c>
      <c r="J32" s="28">
        <f t="shared" si="12"/>
        <v>429.99999999999994</v>
      </c>
      <c r="K32" s="28">
        <f t="shared" si="12"/>
        <v>447.99999999999983</v>
      </c>
      <c r="L32" s="28">
        <f t="shared" si="12"/>
        <v>466.99999999999989</v>
      </c>
      <c r="M32" s="28">
        <f t="shared" si="12"/>
        <v>484.99999999999983</v>
      </c>
      <c r="N32" s="28">
        <f t="shared" si="12"/>
        <v>502.99999999999983</v>
      </c>
      <c r="O32" s="28">
        <f t="shared" si="12"/>
        <v>522</v>
      </c>
      <c r="P32" s="28">
        <f t="shared" si="12"/>
        <v>540.99999999999989</v>
      </c>
      <c r="Q32" s="28">
        <f t="shared" si="12"/>
        <v>559.99999999999989</v>
      </c>
      <c r="R32" s="28">
        <f t="shared" si="12"/>
        <v>576.99999999999989</v>
      </c>
      <c r="S32" s="28">
        <f t="shared" si="12"/>
        <v>593.99999999999989</v>
      </c>
      <c r="T32" s="28">
        <f t="shared" si="12"/>
        <v>610.99999999999989</v>
      </c>
      <c r="U32" s="28">
        <f t="shared" si="12"/>
        <v>628.95373554235687</v>
      </c>
      <c r="V32" s="28">
        <f t="shared" si="12"/>
        <v>647.43502692747154</v>
      </c>
      <c r="W32" s="28">
        <f t="shared" si="12"/>
        <v>666.45937595253645</v>
      </c>
      <c r="X32" s="28">
        <f t="shared" si="12"/>
        <v>686.04273992238279</v>
      </c>
      <c r="Y32" s="28">
        <f t="shared" si="12"/>
        <v>706.20154503420031</v>
      </c>
      <c r="Z32" s="28">
        <f t="shared" si="12"/>
        <v>726.95270015555536</v>
      </c>
    </row>
    <row r="33" spans="1:27" ht="15" x14ac:dyDescent="0.25">
      <c r="A33" s="1" t="s">
        <v>7</v>
      </c>
      <c r="C33" s="14">
        <f>C19/(C32*8.76)</f>
        <v>0.59806436355036485</v>
      </c>
      <c r="D33" s="14">
        <f t="shared" ref="D33:T33" si="13">IF(B3="AR 2008",D49,D50)</f>
        <v>0.59846316363388541</v>
      </c>
      <c r="E33" s="14">
        <f t="shared" si="13"/>
        <v>0.59782349291203285</v>
      </c>
      <c r="F33" s="14">
        <f t="shared" si="13"/>
        <v>0.59689020204733345</v>
      </c>
      <c r="G33" s="14">
        <f t="shared" si="13"/>
        <v>0.59840425531914898</v>
      </c>
      <c r="H33" s="14">
        <f t="shared" si="13"/>
        <v>0.59830099900331457</v>
      </c>
      <c r="I33" s="14">
        <f t="shared" si="13"/>
        <v>0.59792968923172407</v>
      </c>
      <c r="J33" s="14">
        <f t="shared" si="13"/>
        <v>0.59812042051608794</v>
      </c>
      <c r="K33" s="14">
        <f t="shared" si="13"/>
        <v>0.59804101435094581</v>
      </c>
      <c r="L33" s="14">
        <f t="shared" si="13"/>
        <v>0.59717618530795025</v>
      </c>
      <c r="M33" s="14">
        <f t="shared" si="13"/>
        <v>0.5976086240173234</v>
      </c>
      <c r="N33" s="14">
        <f t="shared" si="13"/>
        <v>0.59823706164837465</v>
      </c>
      <c r="O33" s="14">
        <f t="shared" si="13"/>
        <v>0.59789359505939565</v>
      </c>
      <c r="P33" s="14">
        <f t="shared" si="13"/>
        <v>0.59778526152313916</v>
      </c>
      <c r="Q33" s="14">
        <f t="shared" si="13"/>
        <v>0.59809197651663415</v>
      </c>
      <c r="R33" s="14">
        <f t="shared" si="13"/>
        <v>0.59748502330587283</v>
      </c>
      <c r="S33" s="14">
        <f t="shared" si="13"/>
        <v>0.59729717263963844</v>
      </c>
      <c r="T33" s="14">
        <f t="shared" si="13"/>
        <v>0.59768027561673731</v>
      </c>
      <c r="U33" s="14">
        <f>T33</f>
        <v>0.59768027561673731</v>
      </c>
      <c r="V33" s="14">
        <f t="shared" ref="V33:Z33" si="14">U33</f>
        <v>0.59768027561673731</v>
      </c>
      <c r="W33" s="14">
        <f t="shared" si="14"/>
        <v>0.59768027561673731</v>
      </c>
      <c r="X33" s="14">
        <f t="shared" si="14"/>
        <v>0.59768027561673731</v>
      </c>
      <c r="Y33" s="14">
        <f t="shared" si="14"/>
        <v>0.59768027561673731</v>
      </c>
      <c r="Z33" s="14">
        <f t="shared" si="14"/>
        <v>0.59768027561673731</v>
      </c>
    </row>
    <row r="34" spans="1:27" ht="15" x14ac:dyDescent="0.25">
      <c r="A34" s="1" t="s">
        <v>8</v>
      </c>
      <c r="C34" s="15"/>
      <c r="D34" s="15">
        <f t="shared" ref="D34:J34" si="15">D32/C32-1</f>
        <v>6.7729083665338585E-2</v>
      </c>
      <c r="E34" s="15">
        <f t="shared" si="15"/>
        <v>7.0895522388059629E-2</v>
      </c>
      <c r="F34" s="15">
        <f t="shared" si="15"/>
        <v>6.6202090592334395E-2</v>
      </c>
      <c r="G34" s="15">
        <f t="shared" si="15"/>
        <v>0.2287581699346406</v>
      </c>
      <c r="H34" s="15">
        <f t="shared" si="15"/>
        <v>4.7872340425532123E-2</v>
      </c>
      <c r="I34" s="15">
        <f t="shared" si="15"/>
        <v>4.5685279187817063E-2</v>
      </c>
      <c r="J34" s="15">
        <f t="shared" si="15"/>
        <v>4.3689320388349495E-2</v>
      </c>
    </row>
    <row r="35" spans="1:27" ht="15" x14ac:dyDescent="0.25">
      <c r="A35" s="1" t="s">
        <v>75</v>
      </c>
      <c r="B35" s="2" t="s">
        <v>10</v>
      </c>
      <c r="C35" s="35">
        <f>IF(B3="AR 2008",C52,C53)</f>
        <v>261.60000000000002</v>
      </c>
      <c r="D35" s="15"/>
      <c r="E35" s="15"/>
      <c r="F35" s="15"/>
      <c r="G35" s="15"/>
      <c r="H35" s="15"/>
      <c r="I35" s="15"/>
      <c r="J35" s="15"/>
    </row>
    <row r="36" spans="1:27" s="1" customFormat="1" x14ac:dyDescent="0.2">
      <c r="A36" s="1" t="s">
        <v>81</v>
      </c>
      <c r="B36" s="1" t="s">
        <v>10</v>
      </c>
      <c r="C36" s="72">
        <f>MAX(0,C32-C35)</f>
        <v>0</v>
      </c>
      <c r="D36" s="77">
        <f>C20/(C33*8.76)</f>
        <v>0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1:27" ht="15" x14ac:dyDescent="0.25">
      <c r="A37" s="1" t="s">
        <v>79</v>
      </c>
      <c r="C37" s="15">
        <f>C35/C32-1</f>
        <v>4.2231075697211296E-2</v>
      </c>
      <c r="D37" s="34">
        <f>C37</f>
        <v>4.2231075697211296E-2</v>
      </c>
      <c r="E37" s="34">
        <f t="shared" ref="E37:AA37" si="16">D37</f>
        <v>4.2231075697211296E-2</v>
      </c>
      <c r="F37" s="34">
        <f t="shared" si="16"/>
        <v>4.2231075697211296E-2</v>
      </c>
      <c r="G37" s="34">
        <f t="shared" si="16"/>
        <v>4.2231075697211296E-2</v>
      </c>
      <c r="H37" s="34">
        <f t="shared" si="16"/>
        <v>4.2231075697211296E-2</v>
      </c>
      <c r="I37" s="34">
        <f t="shared" si="16"/>
        <v>4.2231075697211296E-2</v>
      </c>
      <c r="J37" s="34">
        <f t="shared" si="16"/>
        <v>4.2231075697211296E-2</v>
      </c>
      <c r="K37" s="34">
        <f t="shared" si="16"/>
        <v>4.2231075697211296E-2</v>
      </c>
      <c r="L37" s="34">
        <f t="shared" si="16"/>
        <v>4.2231075697211296E-2</v>
      </c>
      <c r="M37" s="34">
        <f t="shared" si="16"/>
        <v>4.2231075697211296E-2</v>
      </c>
      <c r="N37" s="34">
        <f t="shared" si="16"/>
        <v>4.2231075697211296E-2</v>
      </c>
      <c r="O37" s="34">
        <f t="shared" si="16"/>
        <v>4.2231075697211296E-2</v>
      </c>
      <c r="P37" s="34">
        <f t="shared" si="16"/>
        <v>4.2231075697211296E-2</v>
      </c>
      <c r="Q37" s="34">
        <f t="shared" si="16"/>
        <v>4.2231075697211296E-2</v>
      </c>
      <c r="R37" s="34">
        <f t="shared" si="16"/>
        <v>4.2231075697211296E-2</v>
      </c>
      <c r="S37" s="34">
        <f t="shared" si="16"/>
        <v>4.2231075697211296E-2</v>
      </c>
      <c r="T37" s="34">
        <f t="shared" si="16"/>
        <v>4.2231075697211296E-2</v>
      </c>
      <c r="U37" s="34">
        <f t="shared" si="16"/>
        <v>4.2231075697211296E-2</v>
      </c>
      <c r="V37" s="34">
        <f t="shared" si="16"/>
        <v>4.2231075697211296E-2</v>
      </c>
      <c r="W37" s="34">
        <f t="shared" si="16"/>
        <v>4.2231075697211296E-2</v>
      </c>
      <c r="X37" s="34">
        <f t="shared" si="16"/>
        <v>4.2231075697211296E-2</v>
      </c>
      <c r="Y37" s="34">
        <f t="shared" si="16"/>
        <v>4.2231075697211296E-2</v>
      </c>
      <c r="Z37" s="34">
        <f t="shared" si="16"/>
        <v>4.2231075697211296E-2</v>
      </c>
      <c r="AA37" s="34">
        <f t="shared" si="16"/>
        <v>4.2231075697211296E-2</v>
      </c>
    </row>
    <row r="38" spans="1:27" ht="15" x14ac:dyDescent="0.25">
      <c r="A38" s="1"/>
      <c r="C38" s="15"/>
      <c r="D38" s="15"/>
      <c r="E38" s="15"/>
      <c r="F38" s="15"/>
      <c r="G38" s="15"/>
      <c r="H38" s="15"/>
      <c r="I38" s="15"/>
      <c r="J38" s="15"/>
    </row>
    <row r="39" spans="1:27" ht="15" x14ac:dyDescent="0.25">
      <c r="A39" s="3" t="s">
        <v>78</v>
      </c>
      <c r="C39" s="15"/>
      <c r="D39" s="36"/>
      <c r="E39" s="36"/>
      <c r="F39" s="36"/>
      <c r="G39" s="36"/>
      <c r="H39" s="36"/>
      <c r="I39" s="35"/>
      <c r="J39" s="35"/>
    </row>
    <row r="40" spans="1:27" ht="15" x14ac:dyDescent="0.25">
      <c r="A40" s="1" t="s">
        <v>69</v>
      </c>
      <c r="B40" s="1" t="s">
        <v>1</v>
      </c>
      <c r="D40" s="23">
        <f>SUMIF(AR2008_EnergyProj!$A$3:$A$14,MAL!$A$2,AR2008_EnergyProj!B$3:B$14)</f>
        <v>1528</v>
      </c>
      <c r="E40" s="23">
        <f>SUMIF(AR2008_EnergyProj!$A$3:$A$14,MAL!$A$2,AR2008_EnergyProj!C$3:C$14)</f>
        <v>1635</v>
      </c>
      <c r="F40" s="23">
        <f>SUMIF(AR2008_EnergyProj!$A$3:$A$14,MAL!$A$2,AR2008_EnergyProj!D$3:D$14)</f>
        <v>1740.1</v>
      </c>
      <c r="G40" s="23">
        <f>SUMIF(AR2008_EnergyProj!$A$3:$A$14,MAL!$A$2,AR2008_EnergyProj!E$3:E$14)</f>
        <v>2143</v>
      </c>
      <c r="H40" s="23">
        <f>SUMIF(AR2008_EnergyProj!$A$3:$A$14,MAL!$A$2,AR2008_EnergyProj!F$3:F$14)</f>
        <v>2245</v>
      </c>
      <c r="I40" s="23">
        <f>SUMIF(AR2008_EnergyProj!$A$3:$A$14,MAL!$A$2,AR2008_EnergyProj!G$3:G$14)</f>
        <v>2347</v>
      </c>
      <c r="J40" s="23">
        <f>SUMIF(AR2008_EnergyProj!$A$3:$A$14,MAL!$A$2,AR2008_EnergyProj!H$3:H$14)</f>
        <v>2450</v>
      </c>
      <c r="K40" s="23">
        <f>SUMIF(AR2008_EnergyProj!$A$3:$A$14,MAL!$A$2,AR2008_EnergyProj!I$3:I$14)</f>
        <v>2553</v>
      </c>
      <c r="L40" s="23">
        <f>SUMIF(AR2008_EnergyProj!$A$3:$A$14,MAL!$A$2,AR2008_EnergyProj!J$3:J$14)</f>
        <v>2656</v>
      </c>
      <c r="M40" s="23">
        <f>SUMIF(AR2008_EnergyProj!$A$3:$A$14,MAL!$A$2,AR2008_EnergyProj!K$3:K$14)</f>
        <v>2761</v>
      </c>
      <c r="N40" s="23">
        <f>SUMIF(AR2008_EnergyProj!$A$3:$A$14,MAL!$A$2,AR2008_EnergyProj!L$3:L$14)</f>
        <v>2866</v>
      </c>
      <c r="O40" s="23">
        <f>SUMIF(AR2008_EnergyProj!$A$3:$A$14,MAL!$A$2,AR2008_EnergyProj!M$3:M$14)</f>
        <v>2973</v>
      </c>
      <c r="P40" s="23">
        <f>SUMIF(AR2008_EnergyProj!$A$3:$A$14,MAL!$A$2,AR2008_EnergyProj!N$3:N$14)</f>
        <v>3081</v>
      </c>
      <c r="Q40" s="23">
        <f>SUMIF(AR2008_EnergyProj!$A$3:$A$14,MAL!$A$2,AR2008_EnergyProj!O$3:O$14)</f>
        <v>3190</v>
      </c>
      <c r="R40" s="23">
        <f>SUMIF(AR2008_EnergyProj!$A$3:$A$14,MAL!$A$2,AR2008_EnergyProj!P$3:P$14)</f>
        <v>3284</v>
      </c>
      <c r="S40" s="23">
        <f>SUMIF(AR2008_EnergyProj!$A$3:$A$14,MAL!$A$2,AR2008_EnergyProj!Q$3:Q$14)</f>
        <v>3380</v>
      </c>
      <c r="T40" s="23">
        <f>SUMIF(AR2008_EnergyProj!$A$3:$A$14,MAL!$A$2,AR2008_EnergyProj!R$3:R$14)</f>
        <v>3479</v>
      </c>
    </row>
    <row r="41" spans="1:27" ht="15" x14ac:dyDescent="0.25">
      <c r="A41" s="1" t="s">
        <v>11</v>
      </c>
      <c r="B41" s="1"/>
      <c r="D41" s="26">
        <f>VLOOKUP($A$2,AR2008_Stats!$B$4:$O$15,AR2008_Stats!I$1,FALSE)/100</f>
        <v>4.4000000000000004E-2</v>
      </c>
      <c r="E41" s="18">
        <f>E40/D40-1</f>
        <v>7.0026178010471174E-2</v>
      </c>
      <c r="F41" s="18">
        <f t="shared" ref="F41:T41" si="17">F40/E40-1</f>
        <v>6.4281345565749159E-2</v>
      </c>
      <c r="G41" s="18">
        <f t="shared" si="17"/>
        <v>0.23153841733233738</v>
      </c>
      <c r="H41" s="18">
        <f t="shared" si="17"/>
        <v>4.7596826878208098E-2</v>
      </c>
      <c r="I41" s="18">
        <f t="shared" si="17"/>
        <v>4.5434298440979903E-2</v>
      </c>
      <c r="J41" s="18">
        <f t="shared" si="17"/>
        <v>4.3885811674478026E-2</v>
      </c>
      <c r="K41" s="18">
        <f t="shared" si="17"/>
        <v>4.2040816326530672E-2</v>
      </c>
      <c r="L41" s="18">
        <f t="shared" si="17"/>
        <v>4.0344692518605507E-2</v>
      </c>
      <c r="M41" s="18">
        <f t="shared" si="17"/>
        <v>3.9533132530120474E-2</v>
      </c>
      <c r="N41" s="18">
        <f t="shared" si="17"/>
        <v>3.8029699384281024E-2</v>
      </c>
      <c r="O41" s="18">
        <f t="shared" si="17"/>
        <v>3.733426378227489E-2</v>
      </c>
      <c r="P41" s="18">
        <f t="shared" si="17"/>
        <v>3.632694248234114E-2</v>
      </c>
      <c r="Q41" s="18">
        <f t="shared" si="17"/>
        <v>3.5378123985718934E-2</v>
      </c>
      <c r="R41" s="18">
        <f t="shared" si="17"/>
        <v>2.9467084639498431E-2</v>
      </c>
      <c r="S41" s="18">
        <f t="shared" si="17"/>
        <v>2.923264311814866E-2</v>
      </c>
      <c r="T41" s="18">
        <f t="shared" si="17"/>
        <v>2.9289940828402417E-2</v>
      </c>
      <c r="U41" s="4">
        <f>T41</f>
        <v>2.9289940828402417E-2</v>
      </c>
    </row>
    <row r="42" spans="1:27" ht="15" x14ac:dyDescent="0.25">
      <c r="A42" s="1" t="s">
        <v>40</v>
      </c>
      <c r="B42" s="1" t="s">
        <v>1</v>
      </c>
      <c r="C42" s="23">
        <f>SUMIF(PoolPlan_EnergyProj!$B$60:$B$71,MAL!$A$2,PoolPlan_EnergyProj!D$60:D$71)</f>
        <v>1315</v>
      </c>
      <c r="D42" s="23">
        <f>SUMIF(PoolPlan_EnergyProj!$B$60:$B$71,MAL!$A$2,PoolPlan_EnergyProj!E$60:E$71)</f>
        <v>1405</v>
      </c>
      <c r="E42" s="23">
        <f>SUMIF(PoolPlan_EnergyProj!$B$60:$B$71,MAL!$A$2,PoolPlan_EnergyProj!F$60:F$71)</f>
        <v>1503</v>
      </c>
      <c r="F42" s="23">
        <f>SUMIF(PoolPlan_EnergyProj!$B$60:$B$71,MAL!$A$2,PoolPlan_EnergyProj!G$60:G$71)</f>
        <v>1600</v>
      </c>
      <c r="G42" s="23">
        <f>SUMIF(PoolPlan_EnergyProj!$B$60:$B$71,MAL!$A$2,PoolPlan_EnergyProj!H$60:H$71)</f>
        <v>1971</v>
      </c>
      <c r="H42" s="23">
        <f>SUMIF(PoolPlan_EnergyProj!$B$60:$B$71,MAL!$A$2,PoolPlan_EnergyProj!I$60:I$71)</f>
        <v>2065</v>
      </c>
      <c r="I42" s="23">
        <f>SUMIF(PoolPlan_EnergyProj!$B$60:$B$71,MAL!$A$2,PoolPlan_EnergyProj!J$60:J$71)</f>
        <v>2158</v>
      </c>
      <c r="J42" s="23">
        <f>SUMIF(PoolPlan_EnergyProj!$B$60:$B$71,MAL!$A$2,PoolPlan_EnergyProj!K$60:K$71)</f>
        <v>2253</v>
      </c>
      <c r="K42" s="23">
        <f>SUMIF(PoolPlan_EnergyProj!$B$60:$B$71,MAL!$A$2,PoolPlan_EnergyProj!L$60:L$71)</f>
        <v>2347</v>
      </c>
      <c r="L42" s="23">
        <f>SUMIF(PoolPlan_EnergyProj!$B$60:$B$71,MAL!$A$2,PoolPlan_EnergyProj!M$60:M$71)</f>
        <v>2443</v>
      </c>
      <c r="M42" s="23">
        <f>SUMIF(PoolPlan_EnergyProj!$B$60:$B$71,MAL!$A$2,PoolPlan_EnergyProj!N$60:N$71)</f>
        <v>2539</v>
      </c>
      <c r="N42" s="23">
        <f>SUMIF(PoolPlan_EnergyProj!$B$60:$B$71,MAL!$A$2,PoolPlan_EnergyProj!O$60:O$71)</f>
        <v>2636</v>
      </c>
      <c r="O42" s="23">
        <f>SUMIF(PoolPlan_EnergyProj!$B$60:$B$71,MAL!$A$2,PoolPlan_EnergyProj!P$60:P$71)</f>
        <v>2734</v>
      </c>
      <c r="P42" s="23">
        <f>SUMIF(PoolPlan_EnergyProj!$B$60:$B$71,MAL!$A$2,PoolPlan_EnergyProj!Q$60:Q$71)</f>
        <v>2833</v>
      </c>
      <c r="Q42" s="23">
        <f>SUMIF(PoolPlan_EnergyProj!$B$60:$B$71,MAL!$A$2,PoolPlan_EnergyProj!R$60:R$71)</f>
        <v>2934</v>
      </c>
      <c r="R42" s="23">
        <f>SUMIF(PoolPlan_EnergyProj!$B$60:$B$71,MAL!$A$2,PoolPlan_EnergyProj!S$60:S$71)</f>
        <v>3020</v>
      </c>
      <c r="S42" s="23">
        <f>SUMIF(PoolPlan_EnergyProj!$B$60:$B$71,MAL!$A$2,PoolPlan_EnergyProj!T$60:T$71)</f>
        <v>3108</v>
      </c>
      <c r="T42" s="23">
        <f>SUMIF(PoolPlan_EnergyProj!$B$60:$B$71,MAL!$A$2,PoolPlan_EnergyProj!U$60:U$71)</f>
        <v>3199</v>
      </c>
      <c r="U42" s="23">
        <f>SUMIF(PoolPlan_EnergyProj!$B$60:$B$71,MAL!$A$2,PoolPlan_EnergyProj!V$60:V$71)</f>
        <v>3293</v>
      </c>
      <c r="V42" s="23"/>
    </row>
    <row r="43" spans="1:27" x14ac:dyDescent="0.2">
      <c r="A43" s="1" t="s">
        <v>11</v>
      </c>
      <c r="B43" s="1"/>
      <c r="C43" s="16"/>
      <c r="D43" s="18">
        <f>D42/C42-1</f>
        <v>6.8441064638783189E-2</v>
      </c>
      <c r="E43" s="18">
        <f t="shared" ref="E43:U43" si="18">E42/D42-1</f>
        <v>6.9750889679715211E-2</v>
      </c>
      <c r="F43" s="18">
        <f t="shared" si="18"/>
        <v>6.4537591483699197E-2</v>
      </c>
      <c r="G43" s="18">
        <f t="shared" si="18"/>
        <v>0.23187500000000005</v>
      </c>
      <c r="H43" s="18">
        <f t="shared" si="18"/>
        <v>4.7691527143582046E-2</v>
      </c>
      <c r="I43" s="18">
        <f t="shared" si="18"/>
        <v>4.5036319612590692E-2</v>
      </c>
      <c r="J43" s="18">
        <f t="shared" si="18"/>
        <v>4.4022242817423507E-2</v>
      </c>
      <c r="K43" s="18">
        <f t="shared" si="18"/>
        <v>4.1722148246781998E-2</v>
      </c>
      <c r="L43" s="18">
        <f t="shared" si="18"/>
        <v>4.0903280783979534E-2</v>
      </c>
      <c r="M43" s="18">
        <f t="shared" si="18"/>
        <v>3.9295947605403114E-2</v>
      </c>
      <c r="N43" s="18">
        <f t="shared" si="18"/>
        <v>3.8204017329657391E-2</v>
      </c>
      <c r="O43" s="18">
        <f t="shared" si="18"/>
        <v>3.7177541729893848E-2</v>
      </c>
      <c r="P43" s="18">
        <f t="shared" si="18"/>
        <v>3.621068032187269E-2</v>
      </c>
      <c r="Q43" s="18">
        <f t="shared" si="18"/>
        <v>3.5651253088598622E-2</v>
      </c>
      <c r="R43" s="18">
        <f t="shared" si="18"/>
        <v>2.9311520109066125E-2</v>
      </c>
      <c r="S43" s="18">
        <f t="shared" si="18"/>
        <v>2.9139072847682135E-2</v>
      </c>
      <c r="T43" s="18">
        <f t="shared" si="18"/>
        <v>2.9279279279279313E-2</v>
      </c>
      <c r="U43" s="18">
        <f t="shared" si="18"/>
        <v>2.938418255704911E-2</v>
      </c>
    </row>
    <row r="44" spans="1:27" x14ac:dyDescent="0.2">
      <c r="A44" s="1"/>
      <c r="B44" s="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7" ht="15" x14ac:dyDescent="0.25">
      <c r="A45" s="1" t="s">
        <v>9</v>
      </c>
      <c r="B45" s="1" t="s">
        <v>10</v>
      </c>
      <c r="C45"/>
      <c r="D45">
        <f>SUMIF(AR2008_PeakProj!$A$3:$A$14,MAL!$A$2,AR2008_PeakProj!B$3:B$14)</f>
        <v>268</v>
      </c>
      <c r="E45">
        <f>SUMIF(AR2008_PeakProj!$A$3:$A$14,MAL!$A$2,AR2008_PeakProj!C$3:C$14)</f>
        <v>287</v>
      </c>
      <c r="F45">
        <f>SUMIF(AR2008_PeakProj!$A$3:$A$14,MAL!$A$2,AR2008_PeakProj!D$3:D$14)</f>
        <v>306</v>
      </c>
      <c r="G45">
        <f>SUMIF(AR2008_PeakProj!$A$3:$A$14,MAL!$A$2,AR2008_PeakProj!E$3:E$14)</f>
        <v>376</v>
      </c>
      <c r="H45">
        <f>SUMIF(AR2008_PeakProj!$A$3:$A$14,MAL!$A$2,AR2008_PeakProj!F$3:F$14)</f>
        <v>394</v>
      </c>
      <c r="I45">
        <f>SUMIF(AR2008_PeakProj!$A$3:$A$14,MAL!$A$2,AR2008_PeakProj!G$3:G$14)</f>
        <v>412</v>
      </c>
      <c r="J45">
        <f>SUMIF(AR2008_PeakProj!$A$3:$A$14,MAL!$A$2,AR2008_PeakProj!H$3:H$14)</f>
        <v>430</v>
      </c>
      <c r="K45">
        <f>SUMIF(AR2008_PeakProj!$A$3:$A$14,MAL!$A$2,AR2008_PeakProj!I$3:I$14)</f>
        <v>448</v>
      </c>
      <c r="L45">
        <f>SUMIF(AR2008_PeakProj!$A$3:$A$14,MAL!$A$2,AR2008_PeakProj!J$3:J$14)</f>
        <v>467</v>
      </c>
      <c r="M45">
        <f>SUMIF(AR2008_PeakProj!$A$3:$A$14,MAL!$A$2,AR2008_PeakProj!K$3:K$14)</f>
        <v>485</v>
      </c>
      <c r="N45">
        <f>SUMIF(AR2008_PeakProj!$A$3:$A$14,MAL!$A$2,AR2008_PeakProj!L$3:L$14)</f>
        <v>503</v>
      </c>
      <c r="O45">
        <f>SUMIF(AR2008_PeakProj!$A$3:$A$14,MAL!$A$2,AR2008_PeakProj!M$3:M$14)</f>
        <v>522</v>
      </c>
      <c r="P45">
        <f>SUMIF(AR2008_PeakProj!$A$3:$A$14,MAL!$A$2,AR2008_PeakProj!N$3:N$14)</f>
        <v>541</v>
      </c>
      <c r="Q45">
        <f>SUMIF(AR2008_PeakProj!$A$3:$A$14,MAL!$A$2,AR2008_PeakProj!O$3:O$14)</f>
        <v>560</v>
      </c>
      <c r="R45">
        <f>SUMIF(AR2008_PeakProj!$A$3:$A$14,MAL!$A$2,AR2008_PeakProj!P$3:P$14)</f>
        <v>577</v>
      </c>
      <c r="S45">
        <f>SUMIF(AR2008_PeakProj!$A$3:$A$14,MAL!$A$2,AR2008_PeakProj!Q$3:Q$14)</f>
        <v>594</v>
      </c>
      <c r="T45">
        <f>SUMIF(AR2008_PeakProj!$A$3:$A$14,MAL!$A$2,AR2008_PeakProj!R$3:R$14)</f>
        <v>611</v>
      </c>
      <c r="U45">
        <f>SUMIF(AR2008_PeakProj!$A$3:$A$14,MAL!$A$2,AR2008_PeakProj!S$3:S$14)</f>
        <v>629</v>
      </c>
    </row>
    <row r="46" spans="1:27" x14ac:dyDescent="0.2">
      <c r="A46" s="1" t="s">
        <v>11</v>
      </c>
      <c r="B46" s="1" t="s">
        <v>12</v>
      </c>
      <c r="E46" s="18">
        <f>E45/D45-1</f>
        <v>7.0895522388059629E-2</v>
      </c>
      <c r="F46" s="18">
        <f t="shared" ref="F46:U46" si="19">F45/E45-1</f>
        <v>6.6202090592334395E-2</v>
      </c>
      <c r="G46" s="18">
        <f t="shared" si="19"/>
        <v>0.2287581699346406</v>
      </c>
      <c r="H46" s="18">
        <f t="shared" si="19"/>
        <v>4.7872340425531901E-2</v>
      </c>
      <c r="I46" s="18">
        <f t="shared" si="19"/>
        <v>4.5685279187817285E-2</v>
      </c>
      <c r="J46" s="18">
        <f t="shared" si="19"/>
        <v>4.3689320388349495E-2</v>
      </c>
      <c r="K46" s="18">
        <f t="shared" si="19"/>
        <v>4.1860465116279055E-2</v>
      </c>
      <c r="L46" s="18">
        <f t="shared" si="19"/>
        <v>4.2410714285714191E-2</v>
      </c>
      <c r="M46" s="18">
        <f t="shared" si="19"/>
        <v>3.8543897216274159E-2</v>
      </c>
      <c r="N46" s="18">
        <f t="shared" si="19"/>
        <v>3.711340206185576E-2</v>
      </c>
      <c r="O46" s="18">
        <f t="shared" si="19"/>
        <v>3.7773359840954202E-2</v>
      </c>
      <c r="P46" s="18">
        <f t="shared" si="19"/>
        <v>3.6398467432950277E-2</v>
      </c>
      <c r="Q46" s="18">
        <f t="shared" si="19"/>
        <v>3.512014787430684E-2</v>
      </c>
      <c r="R46" s="18">
        <f t="shared" si="19"/>
        <v>3.0357142857142749E-2</v>
      </c>
      <c r="S46" s="18">
        <f t="shared" si="19"/>
        <v>2.9462738301559765E-2</v>
      </c>
      <c r="T46" s="18">
        <f t="shared" si="19"/>
        <v>2.8619528619528545E-2</v>
      </c>
      <c r="U46" s="18">
        <f t="shared" si="19"/>
        <v>2.9459901800327426E-2</v>
      </c>
    </row>
    <row r="47" spans="1:27" ht="15" x14ac:dyDescent="0.25">
      <c r="A47" s="1" t="s">
        <v>39</v>
      </c>
      <c r="B47" s="1" t="s">
        <v>10</v>
      </c>
      <c r="C47">
        <f>SUMIF(PoolPlan_PeakProj!$A$25:$A$36,MAL!$A$2,PoolPlan_PeakProj!C$25:C$36)</f>
        <v>251</v>
      </c>
      <c r="D47">
        <f>SUMIF(PoolPlan_PeakProj!$A$25:$A$36,MAL!$A$2,PoolPlan_PeakProj!D$25:D$36)</f>
        <v>268</v>
      </c>
      <c r="E47">
        <f>SUMIF(PoolPlan_PeakProj!$A$25:$A$36,MAL!$A$2,PoolPlan_PeakProj!E$25:E$36)</f>
        <v>287</v>
      </c>
      <c r="F47">
        <f>SUMIF(PoolPlan_PeakProj!$A$25:$A$36,MAL!$A$2,PoolPlan_PeakProj!F$25:F$36)</f>
        <v>306</v>
      </c>
      <c r="G47">
        <f>SUMIF(PoolPlan_PeakProj!$A$25:$A$36,MAL!$A$2,PoolPlan_PeakProj!G$25:G$36)</f>
        <v>376</v>
      </c>
      <c r="H47">
        <f>SUMIF(PoolPlan_PeakProj!$A$25:$A$36,MAL!$A$2,PoolPlan_PeakProj!H$25:H$36)</f>
        <v>394</v>
      </c>
      <c r="I47">
        <f>SUMIF(PoolPlan_PeakProj!$A$25:$A$36,MAL!$A$2,PoolPlan_PeakProj!I$25:I$36)</f>
        <v>412</v>
      </c>
      <c r="J47">
        <f>SUMIF(PoolPlan_PeakProj!$A$25:$A$36,MAL!$A$2,PoolPlan_PeakProj!J$25:J$36)</f>
        <v>430</v>
      </c>
      <c r="K47">
        <f>SUMIF(PoolPlan_PeakProj!$A$25:$A$36,MAL!$A$2,PoolPlan_PeakProj!K$25:K$36)</f>
        <v>448</v>
      </c>
      <c r="L47">
        <f>SUMIF(PoolPlan_PeakProj!$A$25:$A$36,MAL!$A$2,PoolPlan_PeakProj!L$25:L$36)</f>
        <v>467</v>
      </c>
      <c r="M47">
        <f>SUMIF(PoolPlan_PeakProj!$A$25:$A$36,MAL!$A$2,PoolPlan_PeakProj!M$25:M$36)</f>
        <v>485</v>
      </c>
      <c r="N47">
        <f>SUMIF(PoolPlan_PeakProj!$A$25:$A$36,MAL!$A$2,PoolPlan_PeakProj!N$25:N$36)</f>
        <v>503</v>
      </c>
      <c r="O47">
        <f>SUMIF(PoolPlan_PeakProj!$A$25:$A$36,MAL!$A$2,PoolPlan_PeakProj!O$25:O$36)</f>
        <v>522</v>
      </c>
      <c r="P47">
        <f>SUMIF(PoolPlan_PeakProj!$A$25:$A$36,MAL!$A$2,PoolPlan_PeakProj!P$25:P$36)</f>
        <v>541</v>
      </c>
      <c r="Q47">
        <f>SUMIF(PoolPlan_PeakProj!$A$25:$A$36,MAL!$A$2,PoolPlan_PeakProj!Q$25:Q$36)</f>
        <v>560</v>
      </c>
      <c r="R47">
        <f>SUMIF(PoolPlan_PeakProj!$A$25:$A$36,MAL!$A$2,PoolPlan_PeakProj!R$25:R$36)</f>
        <v>577</v>
      </c>
      <c r="S47">
        <f>SUMIF(PoolPlan_PeakProj!$A$25:$A$36,MAL!$A$2,PoolPlan_PeakProj!S$25:S$36)</f>
        <v>594</v>
      </c>
      <c r="T47">
        <f>SUMIF(PoolPlan_PeakProj!$A$25:$A$36,MAL!$A$2,PoolPlan_PeakProj!T$25:T$36)</f>
        <v>611</v>
      </c>
      <c r="U47">
        <f>SUMIF(PoolPlan_PeakProj!$A$25:$A$36,MAL!$A$2,PoolPlan_PeakProj!U$25:U$36)</f>
        <v>629</v>
      </c>
    </row>
    <row r="48" spans="1:27" x14ac:dyDescent="0.2">
      <c r="A48" s="1" t="s">
        <v>11</v>
      </c>
      <c r="B48" s="1"/>
      <c r="D48" s="18">
        <f>D47/C47-1</f>
        <v>6.7729083665338585E-2</v>
      </c>
      <c r="E48" s="18">
        <f t="shared" ref="E48:U48" si="20">E47/D47-1</f>
        <v>7.0895522388059629E-2</v>
      </c>
      <c r="F48" s="18">
        <f t="shared" si="20"/>
        <v>6.6202090592334395E-2</v>
      </c>
      <c r="G48" s="18">
        <f t="shared" si="20"/>
        <v>0.2287581699346406</v>
      </c>
      <c r="H48" s="18">
        <f t="shared" si="20"/>
        <v>4.7872340425531901E-2</v>
      </c>
      <c r="I48" s="18">
        <f t="shared" si="20"/>
        <v>4.5685279187817285E-2</v>
      </c>
      <c r="J48" s="18">
        <f t="shared" si="20"/>
        <v>4.3689320388349495E-2</v>
      </c>
      <c r="K48" s="18">
        <f t="shared" si="20"/>
        <v>4.1860465116279055E-2</v>
      </c>
      <c r="L48" s="18">
        <f t="shared" si="20"/>
        <v>4.2410714285714191E-2</v>
      </c>
      <c r="M48" s="18">
        <f t="shared" si="20"/>
        <v>3.8543897216274159E-2</v>
      </c>
      <c r="N48" s="18">
        <f t="shared" si="20"/>
        <v>3.711340206185576E-2</v>
      </c>
      <c r="O48" s="18">
        <f t="shared" si="20"/>
        <v>3.7773359840954202E-2</v>
      </c>
      <c r="P48" s="18">
        <f t="shared" si="20"/>
        <v>3.6398467432950277E-2</v>
      </c>
      <c r="Q48" s="18">
        <f t="shared" si="20"/>
        <v>3.512014787430684E-2</v>
      </c>
      <c r="R48" s="18">
        <f t="shared" si="20"/>
        <v>3.0357142857142749E-2</v>
      </c>
      <c r="S48" s="18">
        <f t="shared" si="20"/>
        <v>2.9462738301559765E-2</v>
      </c>
      <c r="T48" s="18">
        <f t="shared" si="20"/>
        <v>2.8619528619528545E-2</v>
      </c>
      <c r="U48" s="18">
        <f t="shared" si="20"/>
        <v>2.9459901800327426E-2</v>
      </c>
    </row>
    <row r="49" spans="1:20" x14ac:dyDescent="0.2">
      <c r="A49" s="1" t="s">
        <v>70</v>
      </c>
      <c r="B49" s="1" t="s">
        <v>12</v>
      </c>
      <c r="D49" s="18">
        <f t="shared" ref="D49:T49" si="21">D40/(D45*8.76)</f>
        <v>0.65085531247870243</v>
      </c>
      <c r="E49" s="18">
        <f t="shared" si="21"/>
        <v>0.65032695336738111</v>
      </c>
      <c r="F49" s="18">
        <f t="shared" si="21"/>
        <v>0.64915540036410302</v>
      </c>
      <c r="G49" s="18">
        <f t="shared" si="21"/>
        <v>0.65062421062858256</v>
      </c>
      <c r="H49" s="18">
        <f t="shared" si="21"/>
        <v>0.65045314419488676</v>
      </c>
      <c r="I49" s="18">
        <f t="shared" si="21"/>
        <v>0.65029702531364986</v>
      </c>
      <c r="J49" s="18">
        <f t="shared" si="21"/>
        <v>0.65041945417861324</v>
      </c>
      <c r="K49" s="18">
        <f t="shared" si="21"/>
        <v>0.65053204500978479</v>
      </c>
      <c r="L49" s="18">
        <f t="shared" si="21"/>
        <v>0.64924271313054271</v>
      </c>
      <c r="M49" s="18">
        <f t="shared" si="21"/>
        <v>0.64986113072541551</v>
      </c>
      <c r="N49" s="18">
        <f t="shared" si="21"/>
        <v>0.65043528781648019</v>
      </c>
      <c r="O49" s="18">
        <f t="shared" si="21"/>
        <v>0.65016007977746282</v>
      </c>
      <c r="P49" s="18">
        <f t="shared" si="21"/>
        <v>0.65011521029043129</v>
      </c>
      <c r="Q49" s="18">
        <f t="shared" si="21"/>
        <v>0.65027723418134387</v>
      </c>
      <c r="R49" s="18">
        <f t="shared" si="21"/>
        <v>0.64971550216439944</v>
      </c>
      <c r="S49" s="18">
        <f t="shared" si="21"/>
        <v>0.64957028427348062</v>
      </c>
      <c r="T49" s="18">
        <f t="shared" si="21"/>
        <v>0.64999364766196599</v>
      </c>
    </row>
    <row r="50" spans="1:20" x14ac:dyDescent="0.2">
      <c r="A50" s="1" t="s">
        <v>41</v>
      </c>
      <c r="C50" s="18">
        <f t="shared" ref="C50:T50" si="22">C42/(C47*8.76)</f>
        <v>0.59806436355036485</v>
      </c>
      <c r="D50" s="18">
        <f t="shared" si="22"/>
        <v>0.59846316363388541</v>
      </c>
      <c r="E50" s="18">
        <f t="shared" si="22"/>
        <v>0.59782349291203285</v>
      </c>
      <c r="F50" s="18">
        <f t="shared" si="22"/>
        <v>0.59689020204733345</v>
      </c>
      <c r="G50" s="18">
        <f t="shared" si="22"/>
        <v>0.59840425531914898</v>
      </c>
      <c r="H50" s="18">
        <f t="shared" si="22"/>
        <v>0.59830099900331457</v>
      </c>
      <c r="I50" s="18">
        <f t="shared" si="22"/>
        <v>0.59792968923172407</v>
      </c>
      <c r="J50" s="18">
        <f t="shared" si="22"/>
        <v>0.59812042051608794</v>
      </c>
      <c r="K50" s="18">
        <f t="shared" si="22"/>
        <v>0.59804101435094581</v>
      </c>
      <c r="L50" s="18">
        <f t="shared" si="22"/>
        <v>0.59717618530795025</v>
      </c>
      <c r="M50" s="18">
        <f t="shared" si="22"/>
        <v>0.5976086240173234</v>
      </c>
      <c r="N50" s="18">
        <f t="shared" si="22"/>
        <v>0.59823706164837465</v>
      </c>
      <c r="O50" s="18">
        <f t="shared" si="22"/>
        <v>0.59789359505939565</v>
      </c>
      <c r="P50" s="18">
        <f t="shared" si="22"/>
        <v>0.59778526152313916</v>
      </c>
      <c r="Q50" s="18">
        <f t="shared" si="22"/>
        <v>0.59809197651663415</v>
      </c>
      <c r="R50" s="18">
        <f t="shared" si="22"/>
        <v>0.59748502330587283</v>
      </c>
      <c r="S50" s="18">
        <f t="shared" si="22"/>
        <v>0.59729717263963844</v>
      </c>
      <c r="T50" s="18">
        <f t="shared" si="22"/>
        <v>0.59768027561673731</v>
      </c>
    </row>
    <row r="51" spans="1:20" x14ac:dyDescent="0.2">
      <c r="A51" s="1" t="s">
        <v>114</v>
      </c>
      <c r="C51" s="18"/>
      <c r="D51" s="16">
        <f>D50/C50-1</f>
        <v>6.6681800124834822E-4</v>
      </c>
      <c r="E51" s="16">
        <f t="shared" ref="E51:T51" si="23">E50/D50-1</f>
        <v>-1.0688556300917362E-3</v>
      </c>
      <c r="F51" s="16">
        <f t="shared" si="23"/>
        <v>-1.5611478567917336E-3</v>
      </c>
      <c r="G51" s="16">
        <f t="shared" si="23"/>
        <v>2.5365691489360742E-3</v>
      </c>
      <c r="H51" s="16">
        <f t="shared" si="23"/>
        <v>-1.7255277668326574E-4</v>
      </c>
      <c r="I51" s="16">
        <f t="shared" si="23"/>
        <v>-6.2060697242538598E-4</v>
      </c>
      <c r="J51" s="16">
        <f t="shared" si="23"/>
        <v>3.1898614134528991E-4</v>
      </c>
      <c r="K51" s="16">
        <f t="shared" si="23"/>
        <v>-1.3275949527624675E-4</v>
      </c>
      <c r="L51" s="16">
        <f t="shared" si="23"/>
        <v>-1.4461032307861998E-3</v>
      </c>
      <c r="M51" s="16">
        <f t="shared" si="23"/>
        <v>7.2413924066672131E-4</v>
      </c>
      <c r="N51" s="16">
        <f t="shared" si="23"/>
        <v>1.0515872860512587E-3</v>
      </c>
      <c r="O51" s="16">
        <f t="shared" si="23"/>
        <v>-5.7413124494931633E-4</v>
      </c>
      <c r="P51" s="16">
        <f t="shared" si="23"/>
        <v>-1.8119199996735613E-4</v>
      </c>
      <c r="Q51" s="16">
        <f t="shared" si="23"/>
        <v>5.1308557309281966E-4</v>
      </c>
      <c r="R51" s="16">
        <f t="shared" si="23"/>
        <v>-1.0148158386880102E-3</v>
      </c>
      <c r="S51" s="16">
        <f t="shared" si="23"/>
        <v>-3.1440230115731271E-4</v>
      </c>
      <c r="T51" s="16">
        <f t="shared" si="23"/>
        <v>6.4139425841558406E-4</v>
      </c>
    </row>
    <row r="52" spans="1:20" ht="15" x14ac:dyDescent="0.25">
      <c r="A52" s="1" t="s">
        <v>84</v>
      </c>
      <c r="B52" s="1" t="s">
        <v>10</v>
      </c>
      <c r="C52" s="38">
        <f>VLOOKUP($A$2,AR2008_Stats!$B$4:$O$15,AR2008_Stats!E$1,FALSE)</f>
        <v>246</v>
      </c>
    </row>
    <row r="53" spans="1:20" ht="15" x14ac:dyDescent="0.25">
      <c r="A53" s="1" t="s">
        <v>83</v>
      </c>
      <c r="B53" s="1" t="s">
        <v>10</v>
      </c>
      <c r="C53" s="74">
        <f>VLOOKUP($A$2,'[1]Total Existing Capacity'!$A$3:$J$14,5,FALSE)</f>
        <v>261.60000000000002</v>
      </c>
    </row>
    <row r="55" spans="1:20" x14ac:dyDescent="0.2">
      <c r="A55" s="3" t="s">
        <v>71</v>
      </c>
    </row>
    <row r="56" spans="1:20" x14ac:dyDescent="0.2">
      <c r="A56" s="2" t="s">
        <v>72</v>
      </c>
    </row>
    <row r="57" spans="1:20" x14ac:dyDescent="0.2">
      <c r="A57" s="2" t="s">
        <v>73</v>
      </c>
    </row>
    <row r="59" spans="1:20" x14ac:dyDescent="0.2">
      <c r="A59" s="3" t="s">
        <v>80</v>
      </c>
    </row>
    <row r="60" spans="1:20" ht="15" x14ac:dyDescent="0.25">
      <c r="A60" t="s">
        <v>13</v>
      </c>
      <c r="B60" s="2" t="s">
        <v>97</v>
      </c>
    </row>
    <row r="61" spans="1:20" ht="15" x14ac:dyDescent="0.25">
      <c r="A61" t="s">
        <v>14</v>
      </c>
      <c r="B61" s="2" t="s">
        <v>98</v>
      </c>
    </row>
    <row r="62" spans="1:20" ht="15" x14ac:dyDescent="0.25">
      <c r="A62" t="s">
        <v>15</v>
      </c>
      <c r="B62" s="2" t="s">
        <v>32</v>
      </c>
    </row>
    <row r="63" spans="1:20" ht="15" x14ac:dyDescent="0.25">
      <c r="A63" t="s">
        <v>16</v>
      </c>
      <c r="B63" s="2" t="s">
        <v>99</v>
      </c>
    </row>
    <row r="64" spans="1:20" ht="15" x14ac:dyDescent="0.25">
      <c r="A64" t="s">
        <v>17</v>
      </c>
      <c r="B64" s="2" t="s">
        <v>100</v>
      </c>
    </row>
    <row r="65" spans="1:2" ht="15" x14ac:dyDescent="0.25">
      <c r="A65" t="s">
        <v>18</v>
      </c>
      <c r="B65" s="2" t="s">
        <v>101</v>
      </c>
    </row>
    <row r="66" spans="1:2" ht="15" x14ac:dyDescent="0.25">
      <c r="A66" t="s">
        <v>19</v>
      </c>
      <c r="B66" s="2" t="s">
        <v>102</v>
      </c>
    </row>
    <row r="67" spans="1:2" ht="15" x14ac:dyDescent="0.25">
      <c r="A67" t="s">
        <v>21</v>
      </c>
      <c r="B67" s="2" t="s">
        <v>103</v>
      </c>
    </row>
    <row r="68" spans="1:2" ht="15" x14ac:dyDescent="0.25">
      <c r="A68" t="s">
        <v>22</v>
      </c>
      <c r="B68" s="2" t="s">
        <v>104</v>
      </c>
    </row>
    <row r="69" spans="1:2" ht="15" x14ac:dyDescent="0.25">
      <c r="A69" t="s">
        <v>23</v>
      </c>
      <c r="B69" s="2" t="s">
        <v>105</v>
      </c>
    </row>
    <row r="70" spans="1:2" ht="15" x14ac:dyDescent="0.25">
      <c r="A70" t="s">
        <v>24</v>
      </c>
      <c r="B70" s="2" t="s">
        <v>106</v>
      </c>
    </row>
    <row r="71" spans="1:2" ht="15" x14ac:dyDescent="0.25">
      <c r="A71" t="s">
        <v>20</v>
      </c>
      <c r="B71" s="2" t="s">
        <v>107</v>
      </c>
    </row>
  </sheetData>
  <dataValidations count="4">
    <dataValidation type="list" allowBlank="1" showInputMessage="1" showErrorMessage="1" sqref="A2">
      <formula1>$A$60:$A$71</formula1>
    </dataValidation>
    <dataValidation type="list" allowBlank="1" showInputMessage="1" showErrorMessage="1" sqref="B3">
      <formula1>$A$56:$A$57</formula1>
    </dataValidation>
    <dataValidation type="list" allowBlank="1" showInputMessage="1" showErrorMessage="1" sqref="B13:B17">
      <formula1>$B$60:$B$72</formula1>
    </dataValidation>
    <dataValidation type="list" allowBlank="1" showInputMessage="1" showErrorMessage="1" sqref="B18">
      <formula1>$B$60:$B$71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D71"/>
  <sheetViews>
    <sheetView workbookViewId="0"/>
  </sheetViews>
  <sheetFormatPr defaultRowHeight="12.75" x14ac:dyDescent="0.2"/>
  <cols>
    <col min="1" max="1" width="66.140625" style="2" customWidth="1"/>
    <col min="2" max="2" width="9.140625" style="2"/>
    <col min="3" max="26" width="11.28515625" style="2" bestFit="1" customWidth="1"/>
    <col min="27" max="27" width="9.85546875" style="2" customWidth="1"/>
    <col min="28" max="253" width="9.140625" style="2"/>
    <col min="254" max="254" width="66.140625" style="2" customWidth="1"/>
    <col min="255" max="257" width="9.140625" style="2"/>
    <col min="258" max="258" width="9.7109375" style="2" customWidth="1"/>
    <col min="259" max="282" width="11.28515625" style="2" bestFit="1" customWidth="1"/>
    <col min="283" max="509" width="9.140625" style="2"/>
    <col min="510" max="510" width="66.140625" style="2" customWidth="1"/>
    <col min="511" max="513" width="9.140625" style="2"/>
    <col min="514" max="514" width="9.7109375" style="2" customWidth="1"/>
    <col min="515" max="538" width="11.28515625" style="2" bestFit="1" customWidth="1"/>
    <col min="539" max="765" width="9.140625" style="2"/>
    <col min="766" max="766" width="66.140625" style="2" customWidth="1"/>
    <col min="767" max="769" width="9.140625" style="2"/>
    <col min="770" max="770" width="9.7109375" style="2" customWidth="1"/>
    <col min="771" max="794" width="11.28515625" style="2" bestFit="1" customWidth="1"/>
    <col min="795" max="1021" width="9.140625" style="2"/>
    <col min="1022" max="1022" width="66.140625" style="2" customWidth="1"/>
    <col min="1023" max="1025" width="9.140625" style="2"/>
    <col min="1026" max="1026" width="9.7109375" style="2" customWidth="1"/>
    <col min="1027" max="1050" width="11.28515625" style="2" bestFit="1" customWidth="1"/>
    <col min="1051" max="1277" width="9.140625" style="2"/>
    <col min="1278" max="1278" width="66.140625" style="2" customWidth="1"/>
    <col min="1279" max="1281" width="9.140625" style="2"/>
    <col min="1282" max="1282" width="9.7109375" style="2" customWidth="1"/>
    <col min="1283" max="1306" width="11.28515625" style="2" bestFit="1" customWidth="1"/>
    <col min="1307" max="1533" width="9.140625" style="2"/>
    <col min="1534" max="1534" width="66.140625" style="2" customWidth="1"/>
    <col min="1535" max="1537" width="9.140625" style="2"/>
    <col min="1538" max="1538" width="9.7109375" style="2" customWidth="1"/>
    <col min="1539" max="1562" width="11.28515625" style="2" bestFit="1" customWidth="1"/>
    <col min="1563" max="1789" width="9.140625" style="2"/>
    <col min="1790" max="1790" width="66.140625" style="2" customWidth="1"/>
    <col min="1791" max="1793" width="9.140625" style="2"/>
    <col min="1794" max="1794" width="9.7109375" style="2" customWidth="1"/>
    <col min="1795" max="1818" width="11.28515625" style="2" bestFit="1" customWidth="1"/>
    <col min="1819" max="2045" width="9.140625" style="2"/>
    <col min="2046" max="2046" width="66.140625" style="2" customWidth="1"/>
    <col min="2047" max="2049" width="9.140625" style="2"/>
    <col min="2050" max="2050" width="9.7109375" style="2" customWidth="1"/>
    <col min="2051" max="2074" width="11.28515625" style="2" bestFit="1" customWidth="1"/>
    <col min="2075" max="2301" width="9.140625" style="2"/>
    <col min="2302" max="2302" width="66.140625" style="2" customWidth="1"/>
    <col min="2303" max="2305" width="9.140625" style="2"/>
    <col min="2306" max="2306" width="9.7109375" style="2" customWidth="1"/>
    <col min="2307" max="2330" width="11.28515625" style="2" bestFit="1" customWidth="1"/>
    <col min="2331" max="2557" width="9.140625" style="2"/>
    <col min="2558" max="2558" width="66.140625" style="2" customWidth="1"/>
    <col min="2559" max="2561" width="9.140625" style="2"/>
    <col min="2562" max="2562" width="9.7109375" style="2" customWidth="1"/>
    <col min="2563" max="2586" width="11.28515625" style="2" bestFit="1" customWidth="1"/>
    <col min="2587" max="2813" width="9.140625" style="2"/>
    <col min="2814" max="2814" width="66.140625" style="2" customWidth="1"/>
    <col min="2815" max="2817" width="9.140625" style="2"/>
    <col min="2818" max="2818" width="9.7109375" style="2" customWidth="1"/>
    <col min="2819" max="2842" width="11.28515625" style="2" bestFit="1" customWidth="1"/>
    <col min="2843" max="3069" width="9.140625" style="2"/>
    <col min="3070" max="3070" width="66.140625" style="2" customWidth="1"/>
    <col min="3071" max="3073" width="9.140625" style="2"/>
    <col min="3074" max="3074" width="9.7109375" style="2" customWidth="1"/>
    <col min="3075" max="3098" width="11.28515625" style="2" bestFit="1" customWidth="1"/>
    <col min="3099" max="3325" width="9.140625" style="2"/>
    <col min="3326" max="3326" width="66.140625" style="2" customWidth="1"/>
    <col min="3327" max="3329" width="9.140625" style="2"/>
    <col min="3330" max="3330" width="9.7109375" style="2" customWidth="1"/>
    <col min="3331" max="3354" width="11.28515625" style="2" bestFit="1" customWidth="1"/>
    <col min="3355" max="3581" width="9.140625" style="2"/>
    <col min="3582" max="3582" width="66.140625" style="2" customWidth="1"/>
    <col min="3583" max="3585" width="9.140625" style="2"/>
    <col min="3586" max="3586" width="9.7109375" style="2" customWidth="1"/>
    <col min="3587" max="3610" width="11.28515625" style="2" bestFit="1" customWidth="1"/>
    <col min="3611" max="3837" width="9.140625" style="2"/>
    <col min="3838" max="3838" width="66.140625" style="2" customWidth="1"/>
    <col min="3839" max="3841" width="9.140625" style="2"/>
    <col min="3842" max="3842" width="9.7109375" style="2" customWidth="1"/>
    <col min="3843" max="3866" width="11.28515625" style="2" bestFit="1" customWidth="1"/>
    <col min="3867" max="4093" width="9.140625" style="2"/>
    <col min="4094" max="4094" width="66.140625" style="2" customWidth="1"/>
    <col min="4095" max="4097" width="9.140625" style="2"/>
    <col min="4098" max="4098" width="9.7109375" style="2" customWidth="1"/>
    <col min="4099" max="4122" width="11.28515625" style="2" bestFit="1" customWidth="1"/>
    <col min="4123" max="4349" width="9.140625" style="2"/>
    <col min="4350" max="4350" width="66.140625" style="2" customWidth="1"/>
    <col min="4351" max="4353" width="9.140625" style="2"/>
    <col min="4354" max="4354" width="9.7109375" style="2" customWidth="1"/>
    <col min="4355" max="4378" width="11.28515625" style="2" bestFit="1" customWidth="1"/>
    <col min="4379" max="4605" width="9.140625" style="2"/>
    <col min="4606" max="4606" width="66.140625" style="2" customWidth="1"/>
    <col min="4607" max="4609" width="9.140625" style="2"/>
    <col min="4610" max="4610" width="9.7109375" style="2" customWidth="1"/>
    <col min="4611" max="4634" width="11.28515625" style="2" bestFit="1" customWidth="1"/>
    <col min="4635" max="4861" width="9.140625" style="2"/>
    <col min="4862" max="4862" width="66.140625" style="2" customWidth="1"/>
    <col min="4863" max="4865" width="9.140625" style="2"/>
    <col min="4866" max="4866" width="9.7109375" style="2" customWidth="1"/>
    <col min="4867" max="4890" width="11.28515625" style="2" bestFit="1" customWidth="1"/>
    <col min="4891" max="5117" width="9.140625" style="2"/>
    <col min="5118" max="5118" width="66.140625" style="2" customWidth="1"/>
    <col min="5119" max="5121" width="9.140625" style="2"/>
    <col min="5122" max="5122" width="9.7109375" style="2" customWidth="1"/>
    <col min="5123" max="5146" width="11.28515625" style="2" bestFit="1" customWidth="1"/>
    <col min="5147" max="5373" width="9.140625" style="2"/>
    <col min="5374" max="5374" width="66.140625" style="2" customWidth="1"/>
    <col min="5375" max="5377" width="9.140625" style="2"/>
    <col min="5378" max="5378" width="9.7109375" style="2" customWidth="1"/>
    <col min="5379" max="5402" width="11.28515625" style="2" bestFit="1" customWidth="1"/>
    <col min="5403" max="5629" width="9.140625" style="2"/>
    <col min="5630" max="5630" width="66.140625" style="2" customWidth="1"/>
    <col min="5631" max="5633" width="9.140625" style="2"/>
    <col min="5634" max="5634" width="9.7109375" style="2" customWidth="1"/>
    <col min="5635" max="5658" width="11.28515625" style="2" bestFit="1" customWidth="1"/>
    <col min="5659" max="5885" width="9.140625" style="2"/>
    <col min="5886" max="5886" width="66.140625" style="2" customWidth="1"/>
    <col min="5887" max="5889" width="9.140625" style="2"/>
    <col min="5890" max="5890" width="9.7109375" style="2" customWidth="1"/>
    <col min="5891" max="5914" width="11.28515625" style="2" bestFit="1" customWidth="1"/>
    <col min="5915" max="6141" width="9.140625" style="2"/>
    <col min="6142" max="6142" width="66.140625" style="2" customWidth="1"/>
    <col min="6143" max="6145" width="9.140625" style="2"/>
    <col min="6146" max="6146" width="9.7109375" style="2" customWidth="1"/>
    <col min="6147" max="6170" width="11.28515625" style="2" bestFit="1" customWidth="1"/>
    <col min="6171" max="6397" width="9.140625" style="2"/>
    <col min="6398" max="6398" width="66.140625" style="2" customWidth="1"/>
    <col min="6399" max="6401" width="9.140625" style="2"/>
    <col min="6402" max="6402" width="9.7109375" style="2" customWidth="1"/>
    <col min="6403" max="6426" width="11.28515625" style="2" bestFit="1" customWidth="1"/>
    <col min="6427" max="6653" width="9.140625" style="2"/>
    <col min="6654" max="6654" width="66.140625" style="2" customWidth="1"/>
    <col min="6655" max="6657" width="9.140625" style="2"/>
    <col min="6658" max="6658" width="9.7109375" style="2" customWidth="1"/>
    <col min="6659" max="6682" width="11.28515625" style="2" bestFit="1" customWidth="1"/>
    <col min="6683" max="6909" width="9.140625" style="2"/>
    <col min="6910" max="6910" width="66.140625" style="2" customWidth="1"/>
    <col min="6911" max="6913" width="9.140625" style="2"/>
    <col min="6914" max="6914" width="9.7109375" style="2" customWidth="1"/>
    <col min="6915" max="6938" width="11.28515625" style="2" bestFit="1" customWidth="1"/>
    <col min="6939" max="7165" width="9.140625" style="2"/>
    <col min="7166" max="7166" width="66.140625" style="2" customWidth="1"/>
    <col min="7167" max="7169" width="9.140625" style="2"/>
    <col min="7170" max="7170" width="9.7109375" style="2" customWidth="1"/>
    <col min="7171" max="7194" width="11.28515625" style="2" bestFit="1" customWidth="1"/>
    <col min="7195" max="7421" width="9.140625" style="2"/>
    <col min="7422" max="7422" width="66.140625" style="2" customWidth="1"/>
    <col min="7423" max="7425" width="9.140625" style="2"/>
    <col min="7426" max="7426" width="9.7109375" style="2" customWidth="1"/>
    <col min="7427" max="7450" width="11.28515625" style="2" bestFit="1" customWidth="1"/>
    <col min="7451" max="7677" width="9.140625" style="2"/>
    <col min="7678" max="7678" width="66.140625" style="2" customWidth="1"/>
    <col min="7679" max="7681" width="9.140625" style="2"/>
    <col min="7682" max="7682" width="9.7109375" style="2" customWidth="1"/>
    <col min="7683" max="7706" width="11.28515625" style="2" bestFit="1" customWidth="1"/>
    <col min="7707" max="7933" width="9.140625" style="2"/>
    <col min="7934" max="7934" width="66.140625" style="2" customWidth="1"/>
    <col min="7935" max="7937" width="9.140625" style="2"/>
    <col min="7938" max="7938" width="9.7109375" style="2" customWidth="1"/>
    <col min="7939" max="7962" width="11.28515625" style="2" bestFit="1" customWidth="1"/>
    <col min="7963" max="8189" width="9.140625" style="2"/>
    <col min="8190" max="8190" width="66.140625" style="2" customWidth="1"/>
    <col min="8191" max="8193" width="9.140625" style="2"/>
    <col min="8194" max="8194" width="9.7109375" style="2" customWidth="1"/>
    <col min="8195" max="8218" width="11.28515625" style="2" bestFit="1" customWidth="1"/>
    <col min="8219" max="8445" width="9.140625" style="2"/>
    <col min="8446" max="8446" width="66.140625" style="2" customWidth="1"/>
    <col min="8447" max="8449" width="9.140625" style="2"/>
    <col min="8450" max="8450" width="9.7109375" style="2" customWidth="1"/>
    <col min="8451" max="8474" width="11.28515625" style="2" bestFit="1" customWidth="1"/>
    <col min="8475" max="8701" width="9.140625" style="2"/>
    <col min="8702" max="8702" width="66.140625" style="2" customWidth="1"/>
    <col min="8703" max="8705" width="9.140625" style="2"/>
    <col min="8706" max="8706" width="9.7109375" style="2" customWidth="1"/>
    <col min="8707" max="8730" width="11.28515625" style="2" bestFit="1" customWidth="1"/>
    <col min="8731" max="8957" width="9.140625" style="2"/>
    <col min="8958" max="8958" width="66.140625" style="2" customWidth="1"/>
    <col min="8959" max="8961" width="9.140625" style="2"/>
    <col min="8962" max="8962" width="9.7109375" style="2" customWidth="1"/>
    <col min="8963" max="8986" width="11.28515625" style="2" bestFit="1" customWidth="1"/>
    <col min="8987" max="9213" width="9.140625" style="2"/>
    <col min="9214" max="9214" width="66.140625" style="2" customWidth="1"/>
    <col min="9215" max="9217" width="9.140625" style="2"/>
    <col min="9218" max="9218" width="9.7109375" style="2" customWidth="1"/>
    <col min="9219" max="9242" width="11.28515625" style="2" bestFit="1" customWidth="1"/>
    <col min="9243" max="9469" width="9.140625" style="2"/>
    <col min="9470" max="9470" width="66.140625" style="2" customWidth="1"/>
    <col min="9471" max="9473" width="9.140625" style="2"/>
    <col min="9474" max="9474" width="9.7109375" style="2" customWidth="1"/>
    <col min="9475" max="9498" width="11.28515625" style="2" bestFit="1" customWidth="1"/>
    <col min="9499" max="9725" width="9.140625" style="2"/>
    <col min="9726" max="9726" width="66.140625" style="2" customWidth="1"/>
    <col min="9727" max="9729" width="9.140625" style="2"/>
    <col min="9730" max="9730" width="9.7109375" style="2" customWidth="1"/>
    <col min="9731" max="9754" width="11.28515625" style="2" bestFit="1" customWidth="1"/>
    <col min="9755" max="9981" width="9.140625" style="2"/>
    <col min="9982" max="9982" width="66.140625" style="2" customWidth="1"/>
    <col min="9983" max="9985" width="9.140625" style="2"/>
    <col min="9986" max="9986" width="9.7109375" style="2" customWidth="1"/>
    <col min="9987" max="10010" width="11.28515625" style="2" bestFit="1" customWidth="1"/>
    <col min="10011" max="10237" width="9.140625" style="2"/>
    <col min="10238" max="10238" width="66.140625" style="2" customWidth="1"/>
    <col min="10239" max="10241" width="9.140625" style="2"/>
    <col min="10242" max="10242" width="9.7109375" style="2" customWidth="1"/>
    <col min="10243" max="10266" width="11.28515625" style="2" bestFit="1" customWidth="1"/>
    <col min="10267" max="10493" width="9.140625" style="2"/>
    <col min="10494" max="10494" width="66.140625" style="2" customWidth="1"/>
    <col min="10495" max="10497" width="9.140625" style="2"/>
    <col min="10498" max="10498" width="9.7109375" style="2" customWidth="1"/>
    <col min="10499" max="10522" width="11.28515625" style="2" bestFit="1" customWidth="1"/>
    <col min="10523" max="10749" width="9.140625" style="2"/>
    <col min="10750" max="10750" width="66.140625" style="2" customWidth="1"/>
    <col min="10751" max="10753" width="9.140625" style="2"/>
    <col min="10754" max="10754" width="9.7109375" style="2" customWidth="1"/>
    <col min="10755" max="10778" width="11.28515625" style="2" bestFit="1" customWidth="1"/>
    <col min="10779" max="11005" width="9.140625" style="2"/>
    <col min="11006" max="11006" width="66.140625" style="2" customWidth="1"/>
    <col min="11007" max="11009" width="9.140625" style="2"/>
    <col min="11010" max="11010" width="9.7109375" style="2" customWidth="1"/>
    <col min="11011" max="11034" width="11.28515625" style="2" bestFit="1" customWidth="1"/>
    <col min="11035" max="11261" width="9.140625" style="2"/>
    <col min="11262" max="11262" width="66.140625" style="2" customWidth="1"/>
    <col min="11263" max="11265" width="9.140625" style="2"/>
    <col min="11266" max="11266" width="9.7109375" style="2" customWidth="1"/>
    <col min="11267" max="11290" width="11.28515625" style="2" bestFit="1" customWidth="1"/>
    <col min="11291" max="11517" width="9.140625" style="2"/>
    <col min="11518" max="11518" width="66.140625" style="2" customWidth="1"/>
    <col min="11519" max="11521" width="9.140625" style="2"/>
    <col min="11522" max="11522" width="9.7109375" style="2" customWidth="1"/>
    <col min="11523" max="11546" width="11.28515625" style="2" bestFit="1" customWidth="1"/>
    <col min="11547" max="11773" width="9.140625" style="2"/>
    <col min="11774" max="11774" width="66.140625" style="2" customWidth="1"/>
    <col min="11775" max="11777" width="9.140625" style="2"/>
    <col min="11778" max="11778" width="9.7109375" style="2" customWidth="1"/>
    <col min="11779" max="11802" width="11.28515625" style="2" bestFit="1" customWidth="1"/>
    <col min="11803" max="12029" width="9.140625" style="2"/>
    <col min="12030" max="12030" width="66.140625" style="2" customWidth="1"/>
    <col min="12031" max="12033" width="9.140625" style="2"/>
    <col min="12034" max="12034" width="9.7109375" style="2" customWidth="1"/>
    <col min="12035" max="12058" width="11.28515625" style="2" bestFit="1" customWidth="1"/>
    <col min="12059" max="12285" width="9.140625" style="2"/>
    <col min="12286" max="12286" width="66.140625" style="2" customWidth="1"/>
    <col min="12287" max="12289" width="9.140625" style="2"/>
    <col min="12290" max="12290" width="9.7109375" style="2" customWidth="1"/>
    <col min="12291" max="12314" width="11.28515625" style="2" bestFit="1" customWidth="1"/>
    <col min="12315" max="12541" width="9.140625" style="2"/>
    <col min="12542" max="12542" width="66.140625" style="2" customWidth="1"/>
    <col min="12543" max="12545" width="9.140625" style="2"/>
    <col min="12546" max="12546" width="9.7109375" style="2" customWidth="1"/>
    <col min="12547" max="12570" width="11.28515625" style="2" bestFit="1" customWidth="1"/>
    <col min="12571" max="12797" width="9.140625" style="2"/>
    <col min="12798" max="12798" width="66.140625" style="2" customWidth="1"/>
    <col min="12799" max="12801" width="9.140625" style="2"/>
    <col min="12802" max="12802" width="9.7109375" style="2" customWidth="1"/>
    <col min="12803" max="12826" width="11.28515625" style="2" bestFit="1" customWidth="1"/>
    <col min="12827" max="13053" width="9.140625" style="2"/>
    <col min="13054" max="13054" width="66.140625" style="2" customWidth="1"/>
    <col min="13055" max="13057" width="9.140625" style="2"/>
    <col min="13058" max="13058" width="9.7109375" style="2" customWidth="1"/>
    <col min="13059" max="13082" width="11.28515625" style="2" bestFit="1" customWidth="1"/>
    <col min="13083" max="13309" width="9.140625" style="2"/>
    <col min="13310" max="13310" width="66.140625" style="2" customWidth="1"/>
    <col min="13311" max="13313" width="9.140625" style="2"/>
    <col min="13314" max="13314" width="9.7109375" style="2" customWidth="1"/>
    <col min="13315" max="13338" width="11.28515625" style="2" bestFit="1" customWidth="1"/>
    <col min="13339" max="13565" width="9.140625" style="2"/>
    <col min="13566" max="13566" width="66.140625" style="2" customWidth="1"/>
    <col min="13567" max="13569" width="9.140625" style="2"/>
    <col min="13570" max="13570" width="9.7109375" style="2" customWidth="1"/>
    <col min="13571" max="13594" width="11.28515625" style="2" bestFit="1" customWidth="1"/>
    <col min="13595" max="13821" width="9.140625" style="2"/>
    <col min="13822" max="13822" width="66.140625" style="2" customWidth="1"/>
    <col min="13823" max="13825" width="9.140625" style="2"/>
    <col min="13826" max="13826" width="9.7109375" style="2" customWidth="1"/>
    <col min="13827" max="13850" width="11.28515625" style="2" bestFit="1" customWidth="1"/>
    <col min="13851" max="14077" width="9.140625" style="2"/>
    <col min="14078" max="14078" width="66.140625" style="2" customWidth="1"/>
    <col min="14079" max="14081" width="9.140625" style="2"/>
    <col min="14082" max="14082" width="9.7109375" style="2" customWidth="1"/>
    <col min="14083" max="14106" width="11.28515625" style="2" bestFit="1" customWidth="1"/>
    <col min="14107" max="14333" width="9.140625" style="2"/>
    <col min="14334" max="14334" width="66.140625" style="2" customWidth="1"/>
    <col min="14335" max="14337" width="9.140625" style="2"/>
    <col min="14338" max="14338" width="9.7109375" style="2" customWidth="1"/>
    <col min="14339" max="14362" width="11.28515625" style="2" bestFit="1" customWidth="1"/>
    <col min="14363" max="14589" width="9.140625" style="2"/>
    <col min="14590" max="14590" width="66.140625" style="2" customWidth="1"/>
    <col min="14591" max="14593" width="9.140625" style="2"/>
    <col min="14594" max="14594" width="9.7109375" style="2" customWidth="1"/>
    <col min="14595" max="14618" width="11.28515625" style="2" bestFit="1" customWidth="1"/>
    <col min="14619" max="14845" width="9.140625" style="2"/>
    <col min="14846" max="14846" width="66.140625" style="2" customWidth="1"/>
    <col min="14847" max="14849" width="9.140625" style="2"/>
    <col min="14850" max="14850" width="9.7109375" style="2" customWidth="1"/>
    <col min="14851" max="14874" width="11.28515625" style="2" bestFit="1" customWidth="1"/>
    <col min="14875" max="15101" width="9.140625" style="2"/>
    <col min="15102" max="15102" width="66.140625" style="2" customWidth="1"/>
    <col min="15103" max="15105" width="9.140625" style="2"/>
    <col min="15106" max="15106" width="9.7109375" style="2" customWidth="1"/>
    <col min="15107" max="15130" width="11.28515625" style="2" bestFit="1" customWidth="1"/>
    <col min="15131" max="15357" width="9.140625" style="2"/>
    <col min="15358" max="15358" width="66.140625" style="2" customWidth="1"/>
    <col min="15359" max="15361" width="9.140625" style="2"/>
    <col min="15362" max="15362" width="9.7109375" style="2" customWidth="1"/>
    <col min="15363" max="15386" width="11.28515625" style="2" bestFit="1" customWidth="1"/>
    <col min="15387" max="15613" width="9.140625" style="2"/>
    <col min="15614" max="15614" width="66.140625" style="2" customWidth="1"/>
    <col min="15615" max="15617" width="9.140625" style="2"/>
    <col min="15618" max="15618" width="9.7109375" style="2" customWidth="1"/>
    <col min="15619" max="15642" width="11.28515625" style="2" bestFit="1" customWidth="1"/>
    <col min="15643" max="15869" width="9.140625" style="2"/>
    <col min="15870" max="15870" width="66.140625" style="2" customWidth="1"/>
    <col min="15871" max="15873" width="9.140625" style="2"/>
    <col min="15874" max="15874" width="9.7109375" style="2" customWidth="1"/>
    <col min="15875" max="15898" width="11.28515625" style="2" bestFit="1" customWidth="1"/>
    <col min="15899" max="16125" width="9.140625" style="2"/>
    <col min="16126" max="16126" width="66.140625" style="2" customWidth="1"/>
    <col min="16127" max="16129" width="9.140625" style="2"/>
    <col min="16130" max="16130" width="9.7109375" style="2" customWidth="1"/>
    <col min="16131" max="16154" width="11.28515625" style="2" bestFit="1" customWidth="1"/>
    <col min="16155" max="16384" width="9.140625" style="2"/>
  </cols>
  <sheetData>
    <row r="1" spans="1:30" ht="20.25" thickBot="1" x14ac:dyDescent="0.35">
      <c r="A1" s="20" t="s">
        <v>117</v>
      </c>
    </row>
    <row r="2" spans="1:30" ht="15.75" thickTop="1" x14ac:dyDescent="0.25">
      <c r="A2" s="21" t="s">
        <v>18</v>
      </c>
      <c r="B2" s="31" t="s">
        <v>101</v>
      </c>
      <c r="C2" s="1">
        <v>2007</v>
      </c>
      <c r="D2" s="1">
        <v>2008</v>
      </c>
      <c r="E2" s="1">
        <v>2009</v>
      </c>
      <c r="F2" s="1">
        <v>2010</v>
      </c>
      <c r="G2" s="1">
        <v>2011</v>
      </c>
      <c r="H2" s="1">
        <v>2012</v>
      </c>
      <c r="I2" s="1">
        <v>2013</v>
      </c>
      <c r="J2" s="1">
        <v>2014</v>
      </c>
      <c r="K2" s="1">
        <v>2015</v>
      </c>
      <c r="L2" s="1">
        <v>2016</v>
      </c>
      <c r="M2" s="1">
        <v>2017</v>
      </c>
      <c r="N2" s="1">
        <v>2018</v>
      </c>
      <c r="O2" s="1">
        <v>2019</v>
      </c>
      <c r="P2" s="1">
        <v>2020</v>
      </c>
      <c r="Q2" s="1">
        <v>2021</v>
      </c>
      <c r="R2" s="1">
        <v>2022</v>
      </c>
      <c r="S2" s="1">
        <v>2023</v>
      </c>
      <c r="T2" s="1">
        <v>2024</v>
      </c>
      <c r="U2" s="1">
        <v>2025</v>
      </c>
      <c r="V2" s="1">
        <v>2026</v>
      </c>
      <c r="W2" s="1">
        <v>2027</v>
      </c>
      <c r="X2" s="1">
        <v>2028</v>
      </c>
      <c r="Y2" s="1">
        <v>2029</v>
      </c>
      <c r="Z2" s="1">
        <v>2030</v>
      </c>
      <c r="AA2" s="1">
        <v>2031</v>
      </c>
      <c r="AB2" s="2">
        <v>2040</v>
      </c>
      <c r="AC2" s="2">
        <v>2050</v>
      </c>
      <c r="AD2" s="2">
        <v>2060</v>
      </c>
    </row>
    <row r="3" spans="1:30" ht="15" x14ac:dyDescent="0.25">
      <c r="A3" s="3" t="s">
        <v>0</v>
      </c>
      <c r="B3" s="31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0" ht="15" x14ac:dyDescent="0.25">
      <c r="A4" s="1" t="s">
        <v>38</v>
      </c>
      <c r="C4" s="24"/>
      <c r="D4" s="32">
        <f t="shared" ref="D4:U4" si="0">IF($B$3="AR 2008",D41,D43)</f>
        <v>0.12774103724329966</v>
      </c>
      <c r="E4" s="32">
        <f t="shared" si="0"/>
        <v>8.1790123456790154E-2</v>
      </c>
      <c r="F4" s="32">
        <f t="shared" si="0"/>
        <v>7.2182596291012757E-2</v>
      </c>
      <c r="G4" s="32">
        <f t="shared" si="0"/>
        <v>6.3331559340074506E-2</v>
      </c>
      <c r="H4" s="32">
        <f t="shared" si="0"/>
        <v>6.831831831831825E-2</v>
      </c>
      <c r="I4" s="32">
        <f t="shared" si="0"/>
        <v>4.5678144764581763E-2</v>
      </c>
      <c r="J4" s="32">
        <f t="shared" si="0"/>
        <v>4.7939068100358417E-2</v>
      </c>
      <c r="K4" s="32">
        <f t="shared" si="0"/>
        <v>4.7028644719965706E-2</v>
      </c>
      <c r="L4" s="32">
        <f t="shared" si="0"/>
        <v>3.7974683544303778E-2</v>
      </c>
      <c r="M4" s="32">
        <f t="shared" si="0"/>
        <v>4.2879622344610624E-2</v>
      </c>
      <c r="N4" s="32">
        <f t="shared" si="0"/>
        <v>4.0173519426631499E-2</v>
      </c>
      <c r="O4" s="32">
        <f t="shared" si="0"/>
        <v>4.0072529465095208E-2</v>
      </c>
      <c r="P4" s="32">
        <f t="shared" si="0"/>
        <v>4.0097629009762992E-2</v>
      </c>
      <c r="Q4" s="32">
        <f t="shared" si="0"/>
        <v>4.0060341937646626E-2</v>
      </c>
      <c r="R4" s="32">
        <f t="shared" si="0"/>
        <v>4.0128928283642118E-2</v>
      </c>
      <c r="S4" s="32">
        <f t="shared" si="0"/>
        <v>4.0130151843817741E-2</v>
      </c>
      <c r="T4" s="32">
        <f t="shared" si="0"/>
        <v>4.0071503053776159E-2</v>
      </c>
      <c r="U4" s="32">
        <f t="shared" si="0"/>
        <v>4.0103122314522954E-2</v>
      </c>
      <c r="V4" s="32">
        <f>U4</f>
        <v>4.0103122314522954E-2</v>
      </c>
      <c r="W4" s="32">
        <f t="shared" ref="W4:Z4" si="1">V4</f>
        <v>4.0103122314522954E-2</v>
      </c>
      <c r="X4" s="32">
        <f t="shared" si="1"/>
        <v>4.0103122314522954E-2</v>
      </c>
      <c r="Y4" s="32">
        <f t="shared" si="1"/>
        <v>4.0103122314522954E-2</v>
      </c>
      <c r="Z4" s="32">
        <f t="shared" si="1"/>
        <v>4.0103122314522954E-2</v>
      </c>
      <c r="AA4" s="4">
        <f>AB4</f>
        <v>4.0131888289110608E-2</v>
      </c>
      <c r="AB4" s="18">
        <f>SUMIF(PoolPlan_EnergyProj!$Q$1:$AB$1,B2,PoolPlan_EnergyProj!$Q$29:$AB$29)</f>
        <v>4.0131888289110608E-2</v>
      </c>
      <c r="AC4" s="18">
        <f>SUMIF(PoolPlan_EnergyProj!$Q$1:$AB$1,B2,PoolPlan_EnergyProj!$Q$30:$AB$30)</f>
        <v>4.0134482715082319E-2</v>
      </c>
      <c r="AD4" s="86">
        <v>0</v>
      </c>
    </row>
    <row r="5" spans="1:30" ht="15" x14ac:dyDescent="0.25">
      <c r="A5" s="1" t="s">
        <v>115</v>
      </c>
      <c r="B5" s="5" t="s">
        <v>1</v>
      </c>
      <c r="C5" s="23">
        <f>(C22-C18)*(1-C7)*(1-C10)</f>
        <v>2442.0499999999997</v>
      </c>
      <c r="D5" s="7">
        <f t="shared" ref="D5:AA5" si="2">C5*(1+D4)</f>
        <v>2753.9999999999995</v>
      </c>
      <c r="E5" s="7">
        <f t="shared" si="2"/>
        <v>2979.2499999999995</v>
      </c>
      <c r="F5" s="7">
        <f t="shared" si="2"/>
        <v>3194.2999999999993</v>
      </c>
      <c r="G5" s="7">
        <f t="shared" si="2"/>
        <v>3396.599999999999</v>
      </c>
      <c r="H5" s="7">
        <f t="shared" si="2"/>
        <v>3628.6499999999987</v>
      </c>
      <c r="I5" s="7">
        <f t="shared" si="2"/>
        <v>3794.3999999999983</v>
      </c>
      <c r="J5" s="7">
        <f t="shared" si="2"/>
        <v>3976.2999999999984</v>
      </c>
      <c r="K5" s="7">
        <f t="shared" si="2"/>
        <v>4163.2999999999984</v>
      </c>
      <c r="L5" s="7">
        <f t="shared" si="2"/>
        <v>4321.3999999999978</v>
      </c>
      <c r="M5" s="7">
        <f t="shared" si="2"/>
        <v>4506.699999999998</v>
      </c>
      <c r="N5" s="7">
        <f t="shared" si="2"/>
        <v>4687.7499999999982</v>
      </c>
      <c r="O5" s="7">
        <f t="shared" si="2"/>
        <v>4875.5999999999985</v>
      </c>
      <c r="P5" s="7">
        <f t="shared" si="2"/>
        <v>5071.0999999999985</v>
      </c>
      <c r="Q5" s="7">
        <f t="shared" si="2"/>
        <v>5274.2499999999982</v>
      </c>
      <c r="R5" s="7">
        <f t="shared" si="2"/>
        <v>5485.8999999999978</v>
      </c>
      <c r="S5" s="7">
        <f t="shared" si="2"/>
        <v>5706.0499999999975</v>
      </c>
      <c r="T5" s="7">
        <f t="shared" si="2"/>
        <v>5934.6999999999971</v>
      </c>
      <c r="U5" s="7">
        <f t="shared" si="2"/>
        <v>6172.6999999999962</v>
      </c>
      <c r="V5" s="7">
        <f t="shared" si="2"/>
        <v>6420.2445431108517</v>
      </c>
      <c r="W5" s="7">
        <f t="shared" si="2"/>
        <v>6677.7163953123745</v>
      </c>
      <c r="X5" s="7">
        <f t="shared" si="2"/>
        <v>6945.5136726952824</v>
      </c>
      <c r="Y5" s="7">
        <f t="shared" si="2"/>
        <v>7224.0504570485728</v>
      </c>
      <c r="Z5" s="7">
        <f t="shared" si="2"/>
        <v>7513.7574361338775</v>
      </c>
      <c r="AA5" s="7">
        <f t="shared" si="2"/>
        <v>7815.2987101922763</v>
      </c>
      <c r="AB5" s="7">
        <f>AA5*(1+AB4)^9</f>
        <v>11136.309242142926</v>
      </c>
      <c r="AC5" s="7">
        <f>AB5*(1+AC4)^10</f>
        <v>16505.786621531141</v>
      </c>
      <c r="AD5" s="7">
        <f>AC5*(1+AD4)^10</f>
        <v>16505.786621531141</v>
      </c>
    </row>
    <row r="6" spans="1:30" ht="15" x14ac:dyDescent="0.25">
      <c r="A6" s="3" t="s">
        <v>2</v>
      </c>
      <c r="B6" s="5"/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30" ht="15" x14ac:dyDescent="0.25">
      <c r="A7" s="1" t="s">
        <v>3</v>
      </c>
      <c r="C7" s="71">
        <v>0</v>
      </c>
      <c r="D7" s="33">
        <f t="shared" ref="D7:Y7" si="3">C7</f>
        <v>0</v>
      </c>
      <c r="E7" s="33">
        <f t="shared" si="3"/>
        <v>0</v>
      </c>
      <c r="F7" s="33">
        <f t="shared" si="3"/>
        <v>0</v>
      </c>
      <c r="G7" s="33">
        <f t="shared" si="3"/>
        <v>0</v>
      </c>
      <c r="H7" s="33">
        <f t="shared" si="3"/>
        <v>0</v>
      </c>
      <c r="I7" s="33">
        <f t="shared" si="3"/>
        <v>0</v>
      </c>
      <c r="J7" s="33">
        <f t="shared" si="3"/>
        <v>0</v>
      </c>
      <c r="K7" s="33">
        <f t="shared" si="3"/>
        <v>0</v>
      </c>
      <c r="L7" s="33">
        <f t="shared" si="3"/>
        <v>0</v>
      </c>
      <c r="M7" s="33">
        <f t="shared" si="3"/>
        <v>0</v>
      </c>
      <c r="N7" s="33">
        <f t="shared" si="3"/>
        <v>0</v>
      </c>
      <c r="O7" s="33">
        <f t="shared" si="3"/>
        <v>0</v>
      </c>
      <c r="P7" s="33">
        <f t="shared" si="3"/>
        <v>0</v>
      </c>
      <c r="Q7" s="33">
        <f t="shared" si="3"/>
        <v>0</v>
      </c>
      <c r="R7" s="33">
        <f t="shared" si="3"/>
        <v>0</v>
      </c>
      <c r="S7" s="33">
        <f t="shared" si="3"/>
        <v>0</v>
      </c>
      <c r="T7" s="33">
        <f t="shared" si="3"/>
        <v>0</v>
      </c>
      <c r="U7" s="33">
        <f t="shared" si="3"/>
        <v>0</v>
      </c>
      <c r="V7" s="33">
        <f t="shared" si="3"/>
        <v>0</v>
      </c>
      <c r="W7" s="33">
        <f t="shared" si="3"/>
        <v>0</v>
      </c>
      <c r="X7" s="33">
        <f t="shared" si="3"/>
        <v>0</v>
      </c>
      <c r="Y7" s="33">
        <f t="shared" si="3"/>
        <v>0</v>
      </c>
      <c r="Z7" s="33">
        <f>Y7</f>
        <v>0</v>
      </c>
      <c r="AA7" s="33">
        <f t="shared" ref="AA7:AC7" si="4">Z7</f>
        <v>0</v>
      </c>
      <c r="AB7" s="33">
        <f t="shared" si="4"/>
        <v>0</v>
      </c>
      <c r="AC7" s="33">
        <f t="shared" si="4"/>
        <v>0</v>
      </c>
    </row>
    <row r="8" spans="1:30" ht="15" x14ac:dyDescent="0.25">
      <c r="A8" s="1" t="s">
        <v>96</v>
      </c>
      <c r="B8" s="5" t="s">
        <v>1</v>
      </c>
      <c r="C8" s="8">
        <f t="shared" ref="C8:AC8" si="5">C5/(1-C7)</f>
        <v>2442.0499999999997</v>
      </c>
      <c r="D8" s="8">
        <f t="shared" si="5"/>
        <v>2753.9999999999995</v>
      </c>
      <c r="E8" s="8">
        <f t="shared" si="5"/>
        <v>2979.2499999999995</v>
      </c>
      <c r="F8" s="8">
        <f t="shared" si="5"/>
        <v>3194.2999999999993</v>
      </c>
      <c r="G8" s="8">
        <f t="shared" si="5"/>
        <v>3396.599999999999</v>
      </c>
      <c r="H8" s="8">
        <f t="shared" si="5"/>
        <v>3628.6499999999987</v>
      </c>
      <c r="I8" s="8">
        <f t="shared" si="5"/>
        <v>3794.3999999999983</v>
      </c>
      <c r="J8" s="8">
        <f t="shared" si="5"/>
        <v>3976.2999999999984</v>
      </c>
      <c r="K8" s="8">
        <f t="shared" si="5"/>
        <v>4163.2999999999984</v>
      </c>
      <c r="L8" s="8">
        <f t="shared" si="5"/>
        <v>4321.3999999999978</v>
      </c>
      <c r="M8" s="8">
        <f t="shared" si="5"/>
        <v>4506.699999999998</v>
      </c>
      <c r="N8" s="8">
        <f t="shared" si="5"/>
        <v>4687.7499999999982</v>
      </c>
      <c r="O8" s="8">
        <f t="shared" si="5"/>
        <v>4875.5999999999985</v>
      </c>
      <c r="P8" s="8">
        <f t="shared" si="5"/>
        <v>5071.0999999999985</v>
      </c>
      <c r="Q8" s="8">
        <f t="shared" si="5"/>
        <v>5274.2499999999982</v>
      </c>
      <c r="R8" s="8">
        <f t="shared" si="5"/>
        <v>5485.8999999999978</v>
      </c>
      <c r="S8" s="8">
        <f t="shared" si="5"/>
        <v>5706.0499999999975</v>
      </c>
      <c r="T8" s="8">
        <f t="shared" si="5"/>
        <v>5934.6999999999971</v>
      </c>
      <c r="U8" s="8">
        <f t="shared" si="5"/>
        <v>6172.6999999999962</v>
      </c>
      <c r="V8" s="8">
        <f t="shared" si="5"/>
        <v>6420.2445431108517</v>
      </c>
      <c r="W8" s="8">
        <f t="shared" si="5"/>
        <v>6677.7163953123745</v>
      </c>
      <c r="X8" s="8">
        <f t="shared" si="5"/>
        <v>6945.5136726952824</v>
      </c>
      <c r="Y8" s="8">
        <f t="shared" si="5"/>
        <v>7224.0504570485728</v>
      </c>
      <c r="Z8" s="8">
        <f t="shared" si="5"/>
        <v>7513.7574361338775</v>
      </c>
      <c r="AA8" s="8">
        <f t="shared" si="5"/>
        <v>7815.2987101922763</v>
      </c>
      <c r="AB8" s="8">
        <f t="shared" si="5"/>
        <v>11136.309242142926</v>
      </c>
      <c r="AC8" s="8">
        <f t="shared" si="5"/>
        <v>16505.786621531141</v>
      </c>
    </row>
    <row r="9" spans="1:30" ht="15" x14ac:dyDescent="0.25">
      <c r="A9" s="3" t="s">
        <v>4</v>
      </c>
      <c r="B9" s="5"/>
      <c r="C9" s="11"/>
      <c r="D9" s="11"/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30" ht="15" x14ac:dyDescent="0.25">
      <c r="A10" s="1" t="s">
        <v>5</v>
      </c>
      <c r="C10" s="26">
        <v>0.15</v>
      </c>
      <c r="D10" s="32">
        <f>C10</f>
        <v>0.15</v>
      </c>
      <c r="E10" s="32">
        <f t="shared" ref="E10:AC10" si="6">D10</f>
        <v>0.15</v>
      </c>
      <c r="F10" s="32">
        <f t="shared" si="6"/>
        <v>0.15</v>
      </c>
      <c r="G10" s="32">
        <f t="shared" si="6"/>
        <v>0.15</v>
      </c>
      <c r="H10" s="32">
        <f t="shared" si="6"/>
        <v>0.15</v>
      </c>
      <c r="I10" s="32">
        <f t="shared" si="6"/>
        <v>0.15</v>
      </c>
      <c r="J10" s="32">
        <f t="shared" si="6"/>
        <v>0.15</v>
      </c>
      <c r="K10" s="32">
        <f t="shared" si="6"/>
        <v>0.15</v>
      </c>
      <c r="L10" s="32">
        <f t="shared" si="6"/>
        <v>0.15</v>
      </c>
      <c r="M10" s="32">
        <f t="shared" si="6"/>
        <v>0.15</v>
      </c>
      <c r="N10" s="32">
        <f t="shared" si="6"/>
        <v>0.15</v>
      </c>
      <c r="O10" s="32">
        <f t="shared" si="6"/>
        <v>0.15</v>
      </c>
      <c r="P10" s="32">
        <f t="shared" si="6"/>
        <v>0.15</v>
      </c>
      <c r="Q10" s="32">
        <f t="shared" si="6"/>
        <v>0.15</v>
      </c>
      <c r="R10" s="32">
        <f t="shared" si="6"/>
        <v>0.15</v>
      </c>
      <c r="S10" s="32">
        <f t="shared" si="6"/>
        <v>0.15</v>
      </c>
      <c r="T10" s="32">
        <f t="shared" si="6"/>
        <v>0.15</v>
      </c>
      <c r="U10" s="32">
        <f t="shared" si="6"/>
        <v>0.15</v>
      </c>
      <c r="V10" s="32">
        <f t="shared" si="6"/>
        <v>0.15</v>
      </c>
      <c r="W10" s="32">
        <f t="shared" si="6"/>
        <v>0.15</v>
      </c>
      <c r="X10" s="32">
        <f t="shared" si="6"/>
        <v>0.15</v>
      </c>
      <c r="Y10" s="32">
        <f t="shared" si="6"/>
        <v>0.15</v>
      </c>
      <c r="Z10" s="32">
        <f t="shared" si="6"/>
        <v>0.15</v>
      </c>
      <c r="AA10" s="32">
        <f t="shared" si="6"/>
        <v>0.15</v>
      </c>
      <c r="AB10" s="32">
        <f t="shared" si="6"/>
        <v>0.15</v>
      </c>
      <c r="AC10" s="32">
        <f t="shared" si="6"/>
        <v>0.15</v>
      </c>
    </row>
    <row r="11" spans="1:30" ht="15" x14ac:dyDescent="0.25">
      <c r="A11" s="1" t="s">
        <v>95</v>
      </c>
      <c r="B11" s="5" t="s">
        <v>1</v>
      </c>
      <c r="C11" s="8">
        <f>C42</f>
        <v>2873</v>
      </c>
      <c r="D11" s="8">
        <f t="shared" ref="D11:AC11" si="7">D8/(1-D10)</f>
        <v>3239.9999999999995</v>
      </c>
      <c r="E11" s="8">
        <f t="shared" si="7"/>
        <v>3504.9999999999995</v>
      </c>
      <c r="F11" s="8">
        <f t="shared" si="7"/>
        <v>3757.9999999999991</v>
      </c>
      <c r="G11" s="8">
        <f t="shared" si="7"/>
        <v>3995.9999999999991</v>
      </c>
      <c r="H11" s="8">
        <f t="shared" si="7"/>
        <v>4268.9999999999982</v>
      </c>
      <c r="I11" s="8">
        <f t="shared" si="7"/>
        <v>4463.9999999999982</v>
      </c>
      <c r="J11" s="8">
        <f t="shared" si="7"/>
        <v>4677.9999999999982</v>
      </c>
      <c r="K11" s="8">
        <f t="shared" si="7"/>
        <v>4897.9999999999982</v>
      </c>
      <c r="L11" s="8">
        <f t="shared" si="7"/>
        <v>5083.9999999999973</v>
      </c>
      <c r="M11" s="8">
        <f t="shared" si="7"/>
        <v>5301.9999999999982</v>
      </c>
      <c r="N11" s="8">
        <f t="shared" si="7"/>
        <v>5514.9999999999982</v>
      </c>
      <c r="O11" s="8">
        <f t="shared" si="7"/>
        <v>5735.9999999999982</v>
      </c>
      <c r="P11" s="8">
        <f t="shared" si="7"/>
        <v>5965.9999999999982</v>
      </c>
      <c r="Q11" s="8">
        <f t="shared" si="7"/>
        <v>6204.9999999999982</v>
      </c>
      <c r="R11" s="8">
        <f t="shared" si="7"/>
        <v>6453.9999999999973</v>
      </c>
      <c r="S11" s="8">
        <f t="shared" si="7"/>
        <v>6712.9999999999973</v>
      </c>
      <c r="T11" s="8">
        <f t="shared" si="7"/>
        <v>6981.9999999999964</v>
      </c>
      <c r="U11" s="8">
        <f t="shared" si="7"/>
        <v>7261.9999999999955</v>
      </c>
      <c r="V11" s="8">
        <f t="shared" si="7"/>
        <v>7553.2288742480614</v>
      </c>
      <c r="W11" s="8">
        <f t="shared" si="7"/>
        <v>7856.1369356616169</v>
      </c>
      <c r="X11" s="8">
        <f t="shared" si="7"/>
        <v>8171.192556112097</v>
      </c>
      <c r="Y11" s="8">
        <f t="shared" si="7"/>
        <v>8498.88289064538</v>
      </c>
      <c r="Z11" s="8">
        <f t="shared" si="7"/>
        <v>8839.7146307457388</v>
      </c>
      <c r="AA11" s="8">
        <f t="shared" si="7"/>
        <v>9194.4690708144426</v>
      </c>
      <c r="AB11" s="8">
        <f t="shared" si="7"/>
        <v>13101.540284874032</v>
      </c>
      <c r="AC11" s="8">
        <f t="shared" si="7"/>
        <v>19418.57249591899</v>
      </c>
    </row>
    <row r="12" spans="1:30" x14ac:dyDescent="0.2">
      <c r="A12" s="3" t="s">
        <v>6</v>
      </c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30" ht="15" x14ac:dyDescent="0.25">
      <c r="A13" s="5" t="s">
        <v>108</v>
      </c>
      <c r="B13" s="5" t="s">
        <v>107</v>
      </c>
      <c r="C13" s="6">
        <f>VLOOKUP($A$2,AR2008_Stats!$B$4:$O$15,AR2008_Stats!L$1,FALSE)</f>
        <v>10998</v>
      </c>
      <c r="D13" s="64">
        <f>C13</f>
        <v>10998</v>
      </c>
      <c r="E13" s="64">
        <f t="shared" ref="E13:AA15" si="8">D13</f>
        <v>10998</v>
      </c>
      <c r="F13" s="64">
        <f t="shared" si="8"/>
        <v>10998</v>
      </c>
      <c r="G13" s="64">
        <f t="shared" si="8"/>
        <v>10998</v>
      </c>
      <c r="H13" s="64">
        <f t="shared" si="8"/>
        <v>10998</v>
      </c>
      <c r="I13" s="64">
        <f t="shared" si="8"/>
        <v>10998</v>
      </c>
      <c r="J13" s="64">
        <f t="shared" si="8"/>
        <v>10998</v>
      </c>
      <c r="K13" s="64">
        <f t="shared" si="8"/>
        <v>10998</v>
      </c>
      <c r="L13" s="64">
        <f t="shared" si="8"/>
        <v>10998</v>
      </c>
      <c r="M13" s="64">
        <f t="shared" si="8"/>
        <v>10998</v>
      </c>
      <c r="N13" s="64">
        <f t="shared" si="8"/>
        <v>10998</v>
      </c>
      <c r="O13" s="64">
        <f t="shared" si="8"/>
        <v>10998</v>
      </c>
      <c r="P13" s="64">
        <f t="shared" si="8"/>
        <v>10998</v>
      </c>
      <c r="Q13" s="64">
        <f t="shared" si="8"/>
        <v>10998</v>
      </c>
      <c r="R13" s="64">
        <f t="shared" si="8"/>
        <v>10998</v>
      </c>
      <c r="S13" s="64">
        <f t="shared" si="8"/>
        <v>10998</v>
      </c>
      <c r="T13" s="64">
        <f t="shared" si="8"/>
        <v>10998</v>
      </c>
      <c r="U13" s="64">
        <f t="shared" si="8"/>
        <v>10998</v>
      </c>
      <c r="V13" s="64">
        <f t="shared" si="8"/>
        <v>10998</v>
      </c>
      <c r="W13" s="64">
        <f t="shared" si="8"/>
        <v>10998</v>
      </c>
      <c r="X13" s="64">
        <f t="shared" si="8"/>
        <v>10998</v>
      </c>
      <c r="Y13" s="64">
        <f t="shared" si="8"/>
        <v>10998</v>
      </c>
      <c r="Z13" s="64">
        <f t="shared" si="8"/>
        <v>10998</v>
      </c>
      <c r="AA13" s="64">
        <f t="shared" si="8"/>
        <v>10998</v>
      </c>
    </row>
    <row r="14" spans="1:30" ht="15" x14ac:dyDescent="0.25">
      <c r="A14" s="5" t="s">
        <v>109</v>
      </c>
      <c r="B14" s="5"/>
      <c r="C14" s="6">
        <v>0</v>
      </c>
      <c r="D14" s="64">
        <f>C14</f>
        <v>0</v>
      </c>
      <c r="E14" s="64">
        <f t="shared" si="8"/>
        <v>0</v>
      </c>
      <c r="F14" s="64">
        <f t="shared" si="8"/>
        <v>0</v>
      </c>
      <c r="G14" s="64">
        <f t="shared" si="8"/>
        <v>0</v>
      </c>
      <c r="H14" s="64">
        <f t="shared" si="8"/>
        <v>0</v>
      </c>
      <c r="I14" s="64">
        <f t="shared" si="8"/>
        <v>0</v>
      </c>
      <c r="J14" s="64">
        <f t="shared" si="8"/>
        <v>0</v>
      </c>
      <c r="K14" s="64">
        <f t="shared" si="8"/>
        <v>0</v>
      </c>
      <c r="L14" s="64">
        <f t="shared" si="8"/>
        <v>0</v>
      </c>
      <c r="M14" s="64">
        <f t="shared" si="8"/>
        <v>0</v>
      </c>
      <c r="N14" s="64">
        <f t="shared" si="8"/>
        <v>0</v>
      </c>
      <c r="O14" s="64">
        <f t="shared" si="8"/>
        <v>0</v>
      </c>
      <c r="P14" s="64">
        <f t="shared" si="8"/>
        <v>0</v>
      </c>
      <c r="Q14" s="64">
        <f t="shared" si="8"/>
        <v>0</v>
      </c>
      <c r="R14" s="64">
        <f t="shared" si="8"/>
        <v>0</v>
      </c>
      <c r="S14" s="64">
        <f t="shared" si="8"/>
        <v>0</v>
      </c>
      <c r="T14" s="64">
        <f t="shared" si="8"/>
        <v>0</v>
      </c>
      <c r="U14" s="64">
        <f t="shared" si="8"/>
        <v>0</v>
      </c>
      <c r="V14" s="64">
        <f t="shared" si="8"/>
        <v>0</v>
      </c>
      <c r="W14" s="64">
        <f t="shared" si="8"/>
        <v>0</v>
      </c>
      <c r="X14" s="64">
        <f t="shared" si="8"/>
        <v>0</v>
      </c>
      <c r="Y14" s="64">
        <f t="shared" si="8"/>
        <v>0</v>
      </c>
      <c r="Z14" s="64">
        <f t="shared" si="8"/>
        <v>0</v>
      </c>
      <c r="AA14" s="64">
        <f t="shared" si="8"/>
        <v>0</v>
      </c>
    </row>
    <row r="15" spans="1:30" ht="15" x14ac:dyDescent="0.25">
      <c r="A15" s="5" t="s">
        <v>110</v>
      </c>
      <c r="B15" s="5"/>
      <c r="C15" s="6">
        <v>0</v>
      </c>
      <c r="D15" s="64">
        <f>C15</f>
        <v>0</v>
      </c>
      <c r="E15" s="64">
        <f t="shared" si="8"/>
        <v>0</v>
      </c>
      <c r="F15" s="64">
        <f t="shared" si="8"/>
        <v>0</v>
      </c>
      <c r="G15" s="64">
        <f t="shared" si="8"/>
        <v>0</v>
      </c>
      <c r="H15" s="64">
        <f t="shared" si="8"/>
        <v>0</v>
      </c>
      <c r="I15" s="64">
        <f t="shared" si="8"/>
        <v>0</v>
      </c>
      <c r="J15" s="64">
        <f t="shared" si="8"/>
        <v>0</v>
      </c>
      <c r="K15" s="64">
        <f t="shared" si="8"/>
        <v>0</v>
      </c>
      <c r="L15" s="64">
        <f t="shared" si="8"/>
        <v>0</v>
      </c>
      <c r="M15" s="64">
        <f t="shared" si="8"/>
        <v>0</v>
      </c>
      <c r="N15" s="64">
        <f t="shared" si="8"/>
        <v>0</v>
      </c>
      <c r="O15" s="64">
        <f t="shared" si="8"/>
        <v>0</v>
      </c>
      <c r="P15" s="64">
        <f t="shared" si="8"/>
        <v>0</v>
      </c>
      <c r="Q15" s="64">
        <f t="shared" si="8"/>
        <v>0</v>
      </c>
      <c r="R15" s="64">
        <f t="shared" si="8"/>
        <v>0</v>
      </c>
      <c r="S15" s="64">
        <f t="shared" si="8"/>
        <v>0</v>
      </c>
      <c r="T15" s="64">
        <f t="shared" si="8"/>
        <v>0</v>
      </c>
      <c r="U15" s="64">
        <f t="shared" si="8"/>
        <v>0</v>
      </c>
      <c r="V15" s="64">
        <f t="shared" si="8"/>
        <v>0</v>
      </c>
      <c r="W15" s="64">
        <f t="shared" si="8"/>
        <v>0</v>
      </c>
      <c r="X15" s="64">
        <f t="shared" si="8"/>
        <v>0</v>
      </c>
      <c r="Y15" s="64">
        <f t="shared" si="8"/>
        <v>0</v>
      </c>
      <c r="Z15" s="64">
        <f t="shared" si="8"/>
        <v>0</v>
      </c>
      <c r="AA15" s="64">
        <f t="shared" si="8"/>
        <v>0</v>
      </c>
    </row>
    <row r="16" spans="1:30" ht="15" x14ac:dyDescent="0.25">
      <c r="A16" s="5" t="s">
        <v>112</v>
      </c>
      <c r="B16" s="5"/>
      <c r="C16" s="6">
        <v>0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</row>
    <row r="17" spans="1:27" ht="15" x14ac:dyDescent="0.25">
      <c r="A17" s="5" t="s">
        <v>113</v>
      </c>
      <c r="B17" s="5"/>
      <c r="C17" s="6">
        <v>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</row>
    <row r="18" spans="1:27" ht="15" x14ac:dyDescent="0.25">
      <c r="A18" s="1" t="s">
        <v>111</v>
      </c>
      <c r="B18" s="5"/>
      <c r="C18" s="65">
        <f>SUM(C13:C17)</f>
        <v>10998</v>
      </c>
      <c r="D18" s="65">
        <f t="shared" ref="D18:AA18" si="9">SUM(D13:D17)</f>
        <v>10998</v>
      </c>
      <c r="E18" s="65">
        <f t="shared" si="9"/>
        <v>10998</v>
      </c>
      <c r="F18" s="65">
        <f t="shared" si="9"/>
        <v>10998</v>
      </c>
      <c r="G18" s="65">
        <f t="shared" si="9"/>
        <v>10998</v>
      </c>
      <c r="H18" s="65">
        <f t="shared" si="9"/>
        <v>10998</v>
      </c>
      <c r="I18" s="65">
        <f t="shared" si="9"/>
        <v>10998</v>
      </c>
      <c r="J18" s="65">
        <f t="shared" si="9"/>
        <v>10998</v>
      </c>
      <c r="K18" s="65">
        <f t="shared" si="9"/>
        <v>10998</v>
      </c>
      <c r="L18" s="65">
        <f t="shared" si="9"/>
        <v>10998</v>
      </c>
      <c r="M18" s="65">
        <f t="shared" si="9"/>
        <v>10998</v>
      </c>
      <c r="N18" s="65">
        <f t="shared" si="9"/>
        <v>10998</v>
      </c>
      <c r="O18" s="65">
        <f t="shared" si="9"/>
        <v>10998</v>
      </c>
      <c r="P18" s="65">
        <f t="shared" si="9"/>
        <v>10998</v>
      </c>
      <c r="Q18" s="65">
        <f t="shared" si="9"/>
        <v>10998</v>
      </c>
      <c r="R18" s="65">
        <f t="shared" si="9"/>
        <v>10998</v>
      </c>
      <c r="S18" s="65">
        <f t="shared" si="9"/>
        <v>10998</v>
      </c>
      <c r="T18" s="65">
        <f t="shared" si="9"/>
        <v>10998</v>
      </c>
      <c r="U18" s="65">
        <f t="shared" si="9"/>
        <v>10998</v>
      </c>
      <c r="V18" s="65">
        <f t="shared" si="9"/>
        <v>10998</v>
      </c>
      <c r="W18" s="65">
        <f t="shared" si="9"/>
        <v>10998</v>
      </c>
      <c r="X18" s="65">
        <f t="shared" si="9"/>
        <v>10998</v>
      </c>
      <c r="Y18" s="65">
        <f t="shared" si="9"/>
        <v>10998</v>
      </c>
      <c r="Z18" s="65">
        <f t="shared" si="9"/>
        <v>10998</v>
      </c>
      <c r="AA18" s="65">
        <f t="shared" si="9"/>
        <v>10998</v>
      </c>
    </row>
    <row r="19" spans="1:27" ht="15" x14ac:dyDescent="0.25">
      <c r="A19" s="66" t="s">
        <v>116</v>
      </c>
      <c r="B19" s="66" t="s">
        <v>1</v>
      </c>
      <c r="C19" s="67">
        <f t="shared" ref="C19:AA19" si="10">C18+C11</f>
        <v>13871</v>
      </c>
      <c r="D19" s="67">
        <f t="shared" si="10"/>
        <v>14238</v>
      </c>
      <c r="E19" s="67">
        <f t="shared" si="10"/>
        <v>14503</v>
      </c>
      <c r="F19" s="67">
        <f t="shared" si="10"/>
        <v>14756</v>
      </c>
      <c r="G19" s="67">
        <f t="shared" si="10"/>
        <v>14994</v>
      </c>
      <c r="H19" s="67">
        <f t="shared" si="10"/>
        <v>15266.999999999998</v>
      </c>
      <c r="I19" s="67">
        <f t="shared" si="10"/>
        <v>15461.999999999998</v>
      </c>
      <c r="J19" s="67">
        <f t="shared" si="10"/>
        <v>15675.999999999998</v>
      </c>
      <c r="K19" s="67">
        <f t="shared" si="10"/>
        <v>15895.999999999998</v>
      </c>
      <c r="L19" s="67">
        <f t="shared" si="10"/>
        <v>16081.999999999996</v>
      </c>
      <c r="M19" s="67">
        <f t="shared" si="10"/>
        <v>16299.999999999998</v>
      </c>
      <c r="N19" s="67">
        <f t="shared" si="10"/>
        <v>16513</v>
      </c>
      <c r="O19" s="67">
        <f t="shared" si="10"/>
        <v>16734</v>
      </c>
      <c r="P19" s="67">
        <f t="shared" si="10"/>
        <v>16964</v>
      </c>
      <c r="Q19" s="67">
        <f t="shared" si="10"/>
        <v>17203</v>
      </c>
      <c r="R19" s="67">
        <f t="shared" si="10"/>
        <v>17451.999999999996</v>
      </c>
      <c r="S19" s="67">
        <f t="shared" si="10"/>
        <v>17710.999999999996</v>
      </c>
      <c r="T19" s="67">
        <f t="shared" si="10"/>
        <v>17979.999999999996</v>
      </c>
      <c r="U19" s="67">
        <f t="shared" si="10"/>
        <v>18259.999999999996</v>
      </c>
      <c r="V19" s="67">
        <f t="shared" si="10"/>
        <v>18551.22887424806</v>
      </c>
      <c r="W19" s="67">
        <f t="shared" si="10"/>
        <v>18854.136935661616</v>
      </c>
      <c r="X19" s="67">
        <f t="shared" si="10"/>
        <v>19169.192556112095</v>
      </c>
      <c r="Y19" s="67">
        <f t="shared" si="10"/>
        <v>19496.882890645378</v>
      </c>
      <c r="Z19" s="67">
        <f t="shared" si="10"/>
        <v>19837.714630745737</v>
      </c>
      <c r="AA19" s="67">
        <f t="shared" si="10"/>
        <v>20192.469070814441</v>
      </c>
    </row>
    <row r="20" spans="1:27" ht="15" x14ac:dyDescent="0.25">
      <c r="A20" s="3" t="s">
        <v>120</v>
      </c>
      <c r="B20" s="5" t="s">
        <v>1</v>
      </c>
      <c r="C20" s="6">
        <f>VLOOKUP($A$2,AR2008_Stats!$B$4:$O$15,AR2008_Stats!K$1,FALSE)</f>
        <v>8435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 x14ac:dyDescent="0.25">
      <c r="A21" s="3" t="s">
        <v>121</v>
      </c>
      <c r="B21" s="5" t="s">
        <v>1</v>
      </c>
      <c r="C21" s="6">
        <f>VLOOKUP($A$2,AR2008_Stats!$B$4:$O$15,AR2008_Stats!J$1,FALSE)</f>
        <v>11220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7" ht="15" x14ac:dyDescent="0.25">
      <c r="A22" s="66" t="s">
        <v>119</v>
      </c>
      <c r="B22" s="66" t="s">
        <v>1</v>
      </c>
      <c r="C22" s="67">
        <f>C19</f>
        <v>13871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7" x14ac:dyDescent="0.2">
      <c r="A23" s="3" t="s">
        <v>88</v>
      </c>
    </row>
    <row r="24" spans="1:27" ht="15" x14ac:dyDescent="0.25">
      <c r="A24" s="1" t="s">
        <v>76</v>
      </c>
      <c r="B24" s="5" t="s">
        <v>1</v>
      </c>
      <c r="C24" s="74">
        <f>VLOOKUP($A$2,'[1]Total Existing Capacity'!$A$3:$J$14,9,FALSE)</f>
        <v>16053.047411199999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7" x14ac:dyDescent="0.2">
      <c r="A25" s="1" t="s">
        <v>89</v>
      </c>
      <c r="B25" s="5"/>
      <c r="C25" s="30">
        <f>(C20+C24)/C11-1</f>
        <v>7.5235111072746257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7" x14ac:dyDescent="0.2">
      <c r="A26" s="1" t="s">
        <v>90</v>
      </c>
      <c r="B26" s="5"/>
      <c r="C26" s="30">
        <f>(C20+C24-C13)/C11-1</f>
        <v>3.695456808632092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7" x14ac:dyDescent="0.2">
      <c r="A27" s="1" t="s">
        <v>91</v>
      </c>
      <c r="B27" s="5"/>
      <c r="C27" s="30">
        <f>C24/C11-1</f>
        <v>4.5875556600069611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7" x14ac:dyDescent="0.2">
      <c r="A28" s="1" t="s">
        <v>92</v>
      </c>
      <c r="B28" s="5"/>
      <c r="C28" s="30">
        <f>(C24-C13)/C11-1</f>
        <v>0.75950136136442725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7" ht="15" x14ac:dyDescent="0.25">
      <c r="A29" s="1" t="s">
        <v>77</v>
      </c>
      <c r="B29" s="5" t="s">
        <v>1</v>
      </c>
      <c r="C29" s="74">
        <f>VLOOKUP($A$2,'[1]Total Existing Capacity'!$A$3:$J$14,10,FALSE)</f>
        <v>12556.047411199999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7" x14ac:dyDescent="0.2">
      <c r="A30" s="1" t="s">
        <v>93</v>
      </c>
      <c r="B30" s="5"/>
      <c r="C30" s="30">
        <f>C29/C11-1</f>
        <v>3.3703610898712144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7" x14ac:dyDescent="0.2">
      <c r="A31" s="1" t="s">
        <v>94</v>
      </c>
      <c r="B31" s="5"/>
      <c r="C31" s="30">
        <f>(C29-C13)/C11-1</f>
        <v>-0.45769320877131947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7" x14ac:dyDescent="0.2">
      <c r="A32" s="1" t="s">
        <v>74</v>
      </c>
      <c r="B32" s="2" t="s">
        <v>10</v>
      </c>
      <c r="C32" s="28">
        <f>C19/(C33*8.76)</f>
        <v>2356.0904977375567</v>
      </c>
      <c r="D32" s="28">
        <f>D19/(D33*8.76)</f>
        <v>2359.8166666666671</v>
      </c>
      <c r="E32" s="75">
        <f>E19/(E33*8.76)</f>
        <v>2387.5124108416544</v>
      </c>
      <c r="F32" s="75">
        <f t="shared" ref="F32:Z32" si="11">F19/(F33*8.76)</f>
        <v>2430.5385843533795</v>
      </c>
      <c r="G32" s="75">
        <f t="shared" si="11"/>
        <v>2442.7162162162163</v>
      </c>
      <c r="H32" s="75">
        <f t="shared" si="11"/>
        <v>2467.6106816584679</v>
      </c>
      <c r="I32" s="75">
        <f t="shared" si="11"/>
        <v>2500.7983870967741</v>
      </c>
      <c r="J32" s="75">
        <f t="shared" si="11"/>
        <v>2536.7105600684049</v>
      </c>
      <c r="K32" s="75">
        <f t="shared" si="11"/>
        <v>2573.6071866067782</v>
      </c>
      <c r="L32" s="75">
        <f t="shared" si="11"/>
        <v>2597.0342250196686</v>
      </c>
      <c r="M32" s="75">
        <f t="shared" si="11"/>
        <v>2634.685024519049</v>
      </c>
      <c r="N32" s="75">
        <f t="shared" si="11"/>
        <v>2676.8126926563914</v>
      </c>
      <c r="O32" s="75">
        <f t="shared" si="11"/>
        <v>2721.9006276150626</v>
      </c>
      <c r="P32" s="75">
        <f t="shared" si="11"/>
        <v>2769.5165940328529</v>
      </c>
      <c r="Q32" s="75">
        <f t="shared" si="11"/>
        <v>2819.5730862207897</v>
      </c>
      <c r="R32" s="75">
        <f t="shared" si="11"/>
        <v>2869.0071273628755</v>
      </c>
      <c r="S32" s="75">
        <f t="shared" si="11"/>
        <v>2923.2516013704744</v>
      </c>
      <c r="T32" s="75">
        <f t="shared" si="11"/>
        <v>2979.4987109710682</v>
      </c>
      <c r="U32" s="75">
        <f t="shared" si="11"/>
        <v>3025.8980234889714</v>
      </c>
      <c r="V32" s="75">
        <f t="shared" si="11"/>
        <v>3074.158093312089</v>
      </c>
      <c r="W32" s="75">
        <f t="shared" si="11"/>
        <v>3124.3535426182316</v>
      </c>
      <c r="X32" s="75">
        <f t="shared" si="11"/>
        <v>3176.56198616753</v>
      </c>
      <c r="Y32" s="75">
        <f t="shared" si="11"/>
        <v>3230.8641513143375</v>
      </c>
      <c r="Z32" s="75">
        <f t="shared" si="11"/>
        <v>3287.3440028319706</v>
      </c>
    </row>
    <row r="33" spans="1:27" ht="15" x14ac:dyDescent="0.25">
      <c r="A33" s="1" t="s">
        <v>7</v>
      </c>
      <c r="C33" s="14">
        <f t="shared" ref="C33:T33" si="12">IF(A3="AR 2008",C49,C50)</f>
        <v>0.67206564862639417</v>
      </c>
      <c r="D33" s="14">
        <f t="shared" si="12"/>
        <v>0.68875793984847322</v>
      </c>
      <c r="E33" s="14">
        <f t="shared" si="12"/>
        <v>0.69343874393612059</v>
      </c>
      <c r="F33" s="14">
        <f t="shared" si="12"/>
        <v>0.69304593504031398</v>
      </c>
      <c r="G33" s="14">
        <f t="shared" si="12"/>
        <v>0.70071333880436837</v>
      </c>
      <c r="H33" s="14">
        <f t="shared" si="12"/>
        <v>0.70627357554099668</v>
      </c>
      <c r="I33" s="14">
        <f t="shared" si="12"/>
        <v>0.70580199597768756</v>
      </c>
      <c r="J33" s="14">
        <f t="shared" si="12"/>
        <v>0.70544024417461382</v>
      </c>
      <c r="K33" s="14">
        <f t="shared" si="12"/>
        <v>0.70508501903067367</v>
      </c>
      <c r="L33" s="14">
        <f t="shared" si="12"/>
        <v>0.70690048331748234</v>
      </c>
      <c r="M33" s="14">
        <f t="shared" si="12"/>
        <v>0.70624403915112188</v>
      </c>
      <c r="N33" s="14">
        <f t="shared" si="12"/>
        <v>0.70421276291461088</v>
      </c>
      <c r="O33" s="14">
        <f t="shared" si="12"/>
        <v>0.70181620637507525</v>
      </c>
      <c r="P33" s="14">
        <f t="shared" si="12"/>
        <v>0.69923021387115225</v>
      </c>
      <c r="Q33" s="14">
        <f t="shared" si="12"/>
        <v>0.69649295313012127</v>
      </c>
      <c r="R33" s="14">
        <f t="shared" si="12"/>
        <v>0.69439961438980191</v>
      </c>
      <c r="S33" s="14">
        <f t="shared" si="12"/>
        <v>0.69162834017440611</v>
      </c>
      <c r="T33" s="14">
        <f t="shared" si="12"/>
        <v>0.68887810153009477</v>
      </c>
      <c r="U33" s="14">
        <f>T33</f>
        <v>0.68887810153009477</v>
      </c>
      <c r="V33" s="14">
        <f t="shared" ref="V33:Z33" si="13">U33</f>
        <v>0.68887810153009477</v>
      </c>
      <c r="W33" s="14">
        <f t="shared" si="13"/>
        <v>0.68887810153009477</v>
      </c>
      <c r="X33" s="14">
        <f t="shared" si="13"/>
        <v>0.68887810153009477</v>
      </c>
      <c r="Y33" s="14">
        <f t="shared" si="13"/>
        <v>0.68887810153009477</v>
      </c>
      <c r="Z33" s="14">
        <f t="shared" si="13"/>
        <v>0.68887810153009477</v>
      </c>
    </row>
    <row r="34" spans="1:27" ht="15" x14ac:dyDescent="0.25">
      <c r="A34" s="1" t="s">
        <v>8</v>
      </c>
      <c r="C34" s="15"/>
      <c r="D34" s="15">
        <f t="shared" ref="D34:J34" si="14">D32/C32-1</f>
        <v>1.5815050112415463E-3</v>
      </c>
      <c r="E34" s="15">
        <f t="shared" si="14"/>
        <v>1.1736396545630301E-2</v>
      </c>
      <c r="F34" s="15">
        <f t="shared" si="14"/>
        <v>1.8021340252031282E-2</v>
      </c>
      <c r="G34" s="15">
        <f t="shared" si="14"/>
        <v>5.0102606645416881E-3</v>
      </c>
      <c r="H34" s="15">
        <f t="shared" si="14"/>
        <v>1.0191304776620003E-2</v>
      </c>
      <c r="I34" s="15">
        <f t="shared" si="14"/>
        <v>1.344932800177423E-2</v>
      </c>
      <c r="J34" s="15">
        <f t="shared" si="14"/>
        <v>1.4360283162738963E-2</v>
      </c>
    </row>
    <row r="35" spans="1:27" ht="15" x14ac:dyDescent="0.25">
      <c r="A35" s="1" t="s">
        <v>75</v>
      </c>
      <c r="B35" s="2" t="s">
        <v>10</v>
      </c>
      <c r="C35" s="35">
        <f>IF(B3="AR 2008",C52,C53)</f>
        <v>2186</v>
      </c>
      <c r="D35" s="15"/>
      <c r="E35" s="15"/>
      <c r="F35" s="15"/>
      <c r="G35" s="15"/>
      <c r="H35" s="15"/>
      <c r="I35" s="15"/>
      <c r="J35" s="15"/>
    </row>
    <row r="36" spans="1:27" s="1" customFormat="1" x14ac:dyDescent="0.2">
      <c r="A36" s="1" t="s">
        <v>81</v>
      </c>
      <c r="B36" s="1" t="s">
        <v>10</v>
      </c>
      <c r="C36" s="72">
        <f>MAX(0,C32-C35)</f>
        <v>170.09049773755669</v>
      </c>
      <c r="D36" s="77">
        <f>C20/(C33*8.76)</f>
        <v>1432.7462582666203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1:27" ht="15" x14ac:dyDescent="0.25">
      <c r="A37" s="1" t="s">
        <v>79</v>
      </c>
      <c r="C37" s="15">
        <f>C35/C32-1</f>
        <v>-7.2191835543196081E-2</v>
      </c>
      <c r="D37" s="34">
        <f>C37</f>
        <v>-7.2191835543196081E-2</v>
      </c>
      <c r="E37" s="34">
        <f t="shared" ref="E37:AA37" si="15">D37</f>
        <v>-7.2191835543196081E-2</v>
      </c>
      <c r="F37" s="34">
        <f t="shared" si="15"/>
        <v>-7.2191835543196081E-2</v>
      </c>
      <c r="G37" s="34">
        <f t="shared" si="15"/>
        <v>-7.2191835543196081E-2</v>
      </c>
      <c r="H37" s="34">
        <f t="shared" si="15"/>
        <v>-7.2191835543196081E-2</v>
      </c>
      <c r="I37" s="34">
        <f t="shared" si="15"/>
        <v>-7.2191835543196081E-2</v>
      </c>
      <c r="J37" s="34">
        <f t="shared" si="15"/>
        <v>-7.2191835543196081E-2</v>
      </c>
      <c r="K37" s="34">
        <f t="shared" si="15"/>
        <v>-7.2191835543196081E-2</v>
      </c>
      <c r="L37" s="34">
        <f t="shared" si="15"/>
        <v>-7.2191835543196081E-2</v>
      </c>
      <c r="M37" s="34">
        <f t="shared" si="15"/>
        <v>-7.2191835543196081E-2</v>
      </c>
      <c r="N37" s="34">
        <f t="shared" si="15"/>
        <v>-7.2191835543196081E-2</v>
      </c>
      <c r="O37" s="34">
        <f t="shared" si="15"/>
        <v>-7.2191835543196081E-2</v>
      </c>
      <c r="P37" s="34">
        <f t="shared" si="15"/>
        <v>-7.2191835543196081E-2</v>
      </c>
      <c r="Q37" s="34">
        <f t="shared" si="15"/>
        <v>-7.2191835543196081E-2</v>
      </c>
      <c r="R37" s="34">
        <f t="shared" si="15"/>
        <v>-7.2191835543196081E-2</v>
      </c>
      <c r="S37" s="34">
        <f t="shared" si="15"/>
        <v>-7.2191835543196081E-2</v>
      </c>
      <c r="T37" s="34">
        <f t="shared" si="15"/>
        <v>-7.2191835543196081E-2</v>
      </c>
      <c r="U37" s="34">
        <f t="shared" si="15"/>
        <v>-7.2191835543196081E-2</v>
      </c>
      <c r="V37" s="34">
        <f t="shared" si="15"/>
        <v>-7.2191835543196081E-2</v>
      </c>
      <c r="W37" s="34">
        <f t="shared" si="15"/>
        <v>-7.2191835543196081E-2</v>
      </c>
      <c r="X37" s="34">
        <f t="shared" si="15"/>
        <v>-7.2191835543196081E-2</v>
      </c>
      <c r="Y37" s="34">
        <f t="shared" si="15"/>
        <v>-7.2191835543196081E-2</v>
      </c>
      <c r="Z37" s="34">
        <f t="shared" si="15"/>
        <v>-7.2191835543196081E-2</v>
      </c>
      <c r="AA37" s="34">
        <f t="shared" si="15"/>
        <v>-7.2191835543196081E-2</v>
      </c>
    </row>
    <row r="38" spans="1:27" ht="15" x14ac:dyDescent="0.25">
      <c r="A38" s="1"/>
      <c r="C38" s="15"/>
      <c r="D38" s="15"/>
      <c r="E38" s="15"/>
      <c r="F38" s="15"/>
      <c r="G38" s="15"/>
      <c r="H38" s="15"/>
      <c r="I38" s="15"/>
      <c r="J38" s="15"/>
    </row>
    <row r="39" spans="1:27" ht="15" x14ac:dyDescent="0.25">
      <c r="A39" s="3" t="s">
        <v>78</v>
      </c>
      <c r="C39" s="15"/>
      <c r="D39" s="36"/>
      <c r="E39" s="36"/>
      <c r="F39" s="36"/>
      <c r="G39" s="36"/>
      <c r="H39" s="36"/>
      <c r="I39" s="35"/>
      <c r="J39" s="35"/>
    </row>
    <row r="40" spans="1:27" ht="15" x14ac:dyDescent="0.25">
      <c r="A40" s="1" t="s">
        <v>69</v>
      </c>
      <c r="B40" s="1" t="s">
        <v>1</v>
      </c>
      <c r="D40" s="23">
        <f>SUMIF(AR2008_EnergyProj!$A$3:$A$14,MOZ!$A$2,AR2008_EnergyProj!B$3:B$14)</f>
        <v>2881</v>
      </c>
      <c r="E40" s="23">
        <f>SUMIF(AR2008_EnergyProj!$A$3:$A$14,MOZ!$A$2,AR2008_EnergyProj!C$3:C$14)</f>
        <v>3119</v>
      </c>
      <c r="F40" s="23">
        <f>SUMIF(AR2008_EnergyProj!$A$3:$A$14,MOZ!$A$2,AR2008_EnergyProj!D$3:D$14)</f>
        <v>3356</v>
      </c>
      <c r="G40" s="23">
        <f>SUMIF(AR2008_EnergyProj!$A$3:$A$14,MOZ!$A$2,AR2008_EnergyProj!E$3:E$14)</f>
        <v>3521</v>
      </c>
      <c r="H40" s="23">
        <f>SUMIF(AR2008_EnergyProj!$A$3:$A$14,MOZ!$A$2,AR2008_EnergyProj!F$3:F$14)</f>
        <v>3687</v>
      </c>
      <c r="I40" s="23">
        <f>SUMIF(AR2008_EnergyProj!$A$3:$A$14,MOZ!$A$2,AR2008_EnergyProj!G$3:G$14)</f>
        <v>3852</v>
      </c>
      <c r="J40" s="23">
        <f>SUMIF(AR2008_EnergyProj!$A$3:$A$14,MOZ!$A$2,AR2008_EnergyProj!H$3:H$14)</f>
        <v>4017.3</v>
      </c>
      <c r="K40" s="23">
        <f>SUMIF(AR2008_EnergyProj!$A$3:$A$14,MOZ!$A$2,AR2008_EnergyProj!I$3:I$14)</f>
        <v>4348</v>
      </c>
      <c r="L40" s="23">
        <f>SUMIF(AR2008_EnergyProj!$A$3:$A$14,MOZ!$A$2,AR2008_EnergyProj!J$3:J$14)</f>
        <v>4522</v>
      </c>
      <c r="M40" s="23">
        <f>SUMIF(AR2008_EnergyProj!$A$3:$A$14,MOZ!$A$2,AR2008_EnergyProj!K$3:K$14)</f>
        <v>4695</v>
      </c>
      <c r="N40" s="23">
        <f>SUMIF(AR2008_EnergyProj!$A$3:$A$14,MOZ!$A$2,AR2008_EnergyProj!L$3:L$14)</f>
        <v>4869</v>
      </c>
      <c r="O40" s="23">
        <f>SUMIF(AR2008_EnergyProj!$A$3:$A$14,MOZ!$A$2,AR2008_EnergyProj!M$3:M$14)</f>
        <v>5042</v>
      </c>
      <c r="P40" s="23">
        <f>SUMIF(AR2008_EnergyProj!$A$3:$A$14,MOZ!$A$2,AR2008_EnergyProj!N$3:N$14)</f>
        <v>5389</v>
      </c>
      <c r="Q40" s="23">
        <f>SUMIF(AR2008_EnergyProj!$A$3:$A$14,MOZ!$A$2,AR2008_EnergyProj!O$3:O$14)</f>
        <v>5777</v>
      </c>
      <c r="R40" s="23">
        <f>SUMIF(AR2008_EnergyProj!$A$3:$A$14,MOZ!$A$2,AR2008_EnergyProj!P$3:P$14)</f>
        <v>6193</v>
      </c>
      <c r="S40" s="23">
        <f>SUMIF(AR2008_EnergyProj!$A$3:$A$14,MOZ!$A$2,AR2008_EnergyProj!Q$3:Q$14)</f>
        <v>6639</v>
      </c>
      <c r="T40" s="23">
        <f>SUMIF(AR2008_EnergyProj!$A$3:$A$14,MOZ!$A$2,AR2008_EnergyProj!R$3:R$14)</f>
        <v>7117</v>
      </c>
    </row>
    <row r="41" spans="1:27" ht="15" x14ac:dyDescent="0.25">
      <c r="A41" s="1" t="s">
        <v>11</v>
      </c>
      <c r="B41" s="1"/>
      <c r="D41" s="26">
        <f>VLOOKUP($A$2,AR2008_Stats!$B$4:$O$15,AR2008_Stats!I$1,FALSE)/100</f>
        <v>5.5999999999999994E-2</v>
      </c>
      <c r="E41" s="18">
        <f>E40/D40-1</f>
        <v>8.2610204790003472E-2</v>
      </c>
      <c r="F41" s="18">
        <f t="shared" ref="F41:T41" si="16">F40/E40-1</f>
        <v>7.5985892914395725E-2</v>
      </c>
      <c r="G41" s="18">
        <f t="shared" si="16"/>
        <v>4.9165673420739076E-2</v>
      </c>
      <c r="H41" s="18">
        <f t="shared" si="16"/>
        <v>4.7145697245100759E-2</v>
      </c>
      <c r="I41" s="18">
        <f t="shared" si="16"/>
        <v>4.475183075671274E-2</v>
      </c>
      <c r="J41" s="18">
        <f t="shared" si="16"/>
        <v>4.2912772585669723E-2</v>
      </c>
      <c r="K41" s="18">
        <f t="shared" si="16"/>
        <v>8.2318970452791573E-2</v>
      </c>
      <c r="L41" s="18">
        <f t="shared" si="16"/>
        <v>4.0018399264029503E-2</v>
      </c>
      <c r="M41" s="18">
        <f t="shared" si="16"/>
        <v>3.8257408226448408E-2</v>
      </c>
      <c r="N41" s="18">
        <f t="shared" si="16"/>
        <v>3.706070287539931E-2</v>
      </c>
      <c r="O41" s="18">
        <f t="shared" si="16"/>
        <v>3.5530909837748981E-2</v>
      </c>
      <c r="P41" s="18">
        <f t="shared" si="16"/>
        <v>6.8821896072986943E-2</v>
      </c>
      <c r="Q41" s="18">
        <f t="shared" si="16"/>
        <v>7.1998515494525961E-2</v>
      </c>
      <c r="R41" s="18">
        <f t="shared" si="16"/>
        <v>7.2009693612601788E-2</v>
      </c>
      <c r="S41" s="18">
        <f t="shared" si="16"/>
        <v>7.2016793153560466E-2</v>
      </c>
      <c r="T41" s="18">
        <f t="shared" si="16"/>
        <v>7.1998794999246885E-2</v>
      </c>
      <c r="U41" s="4">
        <f>T41</f>
        <v>7.1998794999246885E-2</v>
      </c>
    </row>
    <row r="42" spans="1:27" ht="15" x14ac:dyDescent="0.25">
      <c r="A42" s="1" t="s">
        <v>40</v>
      </c>
      <c r="B42" s="1" t="s">
        <v>1</v>
      </c>
      <c r="C42" s="23">
        <f>SUMIF(PoolPlan_EnergyProj!$B$60:$B$71,MOZ!$A$2,PoolPlan_EnergyProj!D$60:D$71)</f>
        <v>2873</v>
      </c>
      <c r="D42" s="23">
        <f>SUMIF(PoolPlan_EnergyProj!$B$60:$B$71,MOZ!$A$2,PoolPlan_EnergyProj!E$60:E$71)</f>
        <v>3240</v>
      </c>
      <c r="E42" s="23">
        <f>SUMIF(PoolPlan_EnergyProj!$B$60:$B$71,MOZ!$A$2,PoolPlan_EnergyProj!F$60:F$71)</f>
        <v>3505</v>
      </c>
      <c r="F42" s="23">
        <f>SUMIF(PoolPlan_EnergyProj!$B$60:$B$71,MOZ!$A$2,PoolPlan_EnergyProj!G$60:G$71)</f>
        <v>3758</v>
      </c>
      <c r="G42" s="23">
        <f>SUMIF(PoolPlan_EnergyProj!$B$60:$B$71,MOZ!$A$2,PoolPlan_EnergyProj!H$60:H$71)</f>
        <v>3996</v>
      </c>
      <c r="H42" s="23">
        <f>SUMIF(PoolPlan_EnergyProj!$B$60:$B$71,MOZ!$A$2,PoolPlan_EnergyProj!I$60:I$71)</f>
        <v>4269</v>
      </c>
      <c r="I42" s="23">
        <f>SUMIF(PoolPlan_EnergyProj!$B$60:$B$71,MOZ!$A$2,PoolPlan_EnergyProj!J$60:J$71)</f>
        <v>4464</v>
      </c>
      <c r="J42" s="23">
        <f>SUMIF(PoolPlan_EnergyProj!$B$60:$B$71,MOZ!$A$2,PoolPlan_EnergyProj!K$60:K$71)</f>
        <v>4678</v>
      </c>
      <c r="K42" s="23">
        <f>SUMIF(PoolPlan_EnergyProj!$B$60:$B$71,MOZ!$A$2,PoolPlan_EnergyProj!L$60:L$71)</f>
        <v>4898</v>
      </c>
      <c r="L42" s="23">
        <f>SUMIF(PoolPlan_EnergyProj!$B$60:$B$71,MOZ!$A$2,PoolPlan_EnergyProj!M$60:M$71)</f>
        <v>5084</v>
      </c>
      <c r="M42" s="23">
        <f>SUMIF(PoolPlan_EnergyProj!$B$60:$B$71,MOZ!$A$2,PoolPlan_EnergyProj!N$60:N$71)</f>
        <v>5302</v>
      </c>
      <c r="N42" s="23">
        <f>SUMIF(PoolPlan_EnergyProj!$B$60:$B$71,MOZ!$A$2,PoolPlan_EnergyProj!O$60:O$71)</f>
        <v>5515</v>
      </c>
      <c r="O42" s="23">
        <f>SUMIF(PoolPlan_EnergyProj!$B$60:$B$71,MOZ!$A$2,PoolPlan_EnergyProj!P$60:P$71)</f>
        <v>5736</v>
      </c>
      <c r="P42" s="23">
        <f>SUMIF(PoolPlan_EnergyProj!$B$60:$B$71,MOZ!$A$2,PoolPlan_EnergyProj!Q$60:Q$71)</f>
        <v>5966</v>
      </c>
      <c r="Q42" s="23">
        <f>SUMIF(PoolPlan_EnergyProj!$B$60:$B$71,MOZ!$A$2,PoolPlan_EnergyProj!R$60:R$71)</f>
        <v>6205</v>
      </c>
      <c r="R42" s="23">
        <f>SUMIF(PoolPlan_EnergyProj!$B$60:$B$71,MOZ!$A$2,PoolPlan_EnergyProj!S$60:S$71)</f>
        <v>6454</v>
      </c>
      <c r="S42" s="23">
        <f>SUMIF(PoolPlan_EnergyProj!$B$60:$B$71,MOZ!$A$2,PoolPlan_EnergyProj!T$60:T$71)</f>
        <v>6713</v>
      </c>
      <c r="T42" s="23">
        <f>SUMIF(PoolPlan_EnergyProj!$B$60:$B$71,MOZ!$A$2,PoolPlan_EnergyProj!U$60:U$71)</f>
        <v>6982</v>
      </c>
      <c r="U42" s="23">
        <f>SUMIF(PoolPlan_EnergyProj!$B$60:$B$71,MOZ!$A$2,PoolPlan_EnergyProj!V$60:V$71)</f>
        <v>7262</v>
      </c>
      <c r="V42" s="23"/>
    </row>
    <row r="43" spans="1:27" x14ac:dyDescent="0.2">
      <c r="A43" s="1" t="s">
        <v>11</v>
      </c>
      <c r="B43" s="1"/>
      <c r="C43" s="16"/>
      <c r="D43" s="18">
        <f>D42/C42-1</f>
        <v>0.12774103724329966</v>
      </c>
      <c r="E43" s="18">
        <f t="shared" ref="E43:U43" si="17">E42/D42-1</f>
        <v>8.1790123456790154E-2</v>
      </c>
      <c r="F43" s="18">
        <f t="shared" si="17"/>
        <v>7.2182596291012757E-2</v>
      </c>
      <c r="G43" s="18">
        <f t="shared" si="17"/>
        <v>6.3331559340074506E-2</v>
      </c>
      <c r="H43" s="18">
        <f t="shared" si="17"/>
        <v>6.831831831831825E-2</v>
      </c>
      <c r="I43" s="18">
        <f t="shared" si="17"/>
        <v>4.5678144764581763E-2</v>
      </c>
      <c r="J43" s="18">
        <f t="shared" si="17"/>
        <v>4.7939068100358417E-2</v>
      </c>
      <c r="K43" s="18">
        <f t="shared" si="17"/>
        <v>4.7028644719965706E-2</v>
      </c>
      <c r="L43" s="18">
        <f t="shared" si="17"/>
        <v>3.7974683544303778E-2</v>
      </c>
      <c r="M43" s="18">
        <f t="shared" si="17"/>
        <v>4.2879622344610624E-2</v>
      </c>
      <c r="N43" s="18">
        <f t="shared" si="17"/>
        <v>4.0173519426631499E-2</v>
      </c>
      <c r="O43" s="18">
        <f t="shared" si="17"/>
        <v>4.0072529465095208E-2</v>
      </c>
      <c r="P43" s="18">
        <f t="shared" si="17"/>
        <v>4.0097629009762992E-2</v>
      </c>
      <c r="Q43" s="18">
        <f t="shared" si="17"/>
        <v>4.0060341937646626E-2</v>
      </c>
      <c r="R43" s="18">
        <f t="shared" si="17"/>
        <v>4.0128928283642118E-2</v>
      </c>
      <c r="S43" s="18">
        <f t="shared" si="17"/>
        <v>4.0130151843817741E-2</v>
      </c>
      <c r="T43" s="18">
        <f t="shared" si="17"/>
        <v>4.0071503053776159E-2</v>
      </c>
      <c r="U43" s="18">
        <f t="shared" si="17"/>
        <v>4.0103122314522954E-2</v>
      </c>
    </row>
    <row r="44" spans="1:27" x14ac:dyDescent="0.2">
      <c r="A44" s="1"/>
      <c r="B44" s="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7" ht="15" x14ac:dyDescent="0.25">
      <c r="A45" s="1" t="s">
        <v>9</v>
      </c>
      <c r="B45" s="1" t="s">
        <v>10</v>
      </c>
      <c r="C45"/>
      <c r="D45">
        <f>SUMIF(AR2008_PeakProj!$A$3:$A$14,MOZ!$A$2,AR2008_PeakProj!B$3:B$14)</f>
        <v>418</v>
      </c>
      <c r="E45">
        <f>SUMIF(AR2008_PeakProj!$A$3:$A$14,MOZ!$A$2,AR2008_PeakProj!C$3:C$14)</f>
        <v>478</v>
      </c>
      <c r="F45">
        <f>SUMIF(AR2008_PeakProj!$A$3:$A$14,MOZ!$A$2,AR2008_PeakProj!D$3:D$14)</f>
        <v>557</v>
      </c>
      <c r="G45">
        <f>SUMIF(AR2008_PeakProj!$A$3:$A$14,MOZ!$A$2,AR2008_PeakProj!E$3:E$14)</f>
        <v>583</v>
      </c>
      <c r="H45">
        <f>SUMIF(AR2008_PeakProj!$A$3:$A$14,MOZ!$A$2,AR2008_PeakProj!F$3:F$14)</f>
        <v>609</v>
      </c>
      <c r="I45">
        <f>SUMIF(AR2008_PeakProj!$A$3:$A$14,MOZ!$A$2,AR2008_PeakProj!G$3:G$14)</f>
        <v>636</v>
      </c>
      <c r="J45">
        <f>SUMIF(AR2008_PeakProj!$A$3:$A$14,MOZ!$A$2,AR2008_PeakProj!H$3:H$14)</f>
        <v>662</v>
      </c>
      <c r="K45">
        <f>SUMIF(AR2008_PeakProj!$A$3:$A$14,MOZ!$A$2,AR2008_PeakProj!I$3:I$14)</f>
        <v>714</v>
      </c>
      <c r="L45">
        <f>SUMIF(AR2008_PeakProj!$A$3:$A$14,MOZ!$A$2,AR2008_PeakProj!J$3:J$14)</f>
        <v>741</v>
      </c>
      <c r="M45">
        <f>SUMIF(AR2008_PeakProj!$A$3:$A$14,MOZ!$A$2,AR2008_PeakProj!K$3:K$14)</f>
        <v>768</v>
      </c>
      <c r="N45">
        <f>SUMIF(AR2008_PeakProj!$A$3:$A$14,MOZ!$A$2,AR2008_PeakProj!L$3:L$14)</f>
        <v>795</v>
      </c>
      <c r="O45">
        <f>SUMIF(AR2008_PeakProj!$A$3:$A$14,MOZ!$A$2,AR2008_PeakProj!M$3:M$14)</f>
        <v>822</v>
      </c>
      <c r="P45">
        <f>SUMIF(AR2008_PeakProj!$A$3:$A$14,MOZ!$A$2,AR2008_PeakProj!N$3:N$14)</f>
        <v>876</v>
      </c>
      <c r="Q45">
        <f>SUMIF(AR2008_PeakProj!$A$3:$A$14,MOZ!$A$2,AR2008_PeakProj!O$3:O$14)</f>
        <v>939</v>
      </c>
      <c r="R45">
        <f>SUMIF(AR2008_PeakProj!$A$3:$A$14,MOZ!$A$2,AR2008_PeakProj!P$3:P$14)</f>
        <v>1007</v>
      </c>
      <c r="S45">
        <f>SUMIF(AR2008_PeakProj!$A$3:$A$14,MOZ!$A$2,AR2008_PeakProj!Q$3:Q$14)</f>
        <v>1079</v>
      </c>
      <c r="T45">
        <f>SUMIF(AR2008_PeakProj!$A$3:$A$14,MOZ!$A$2,AR2008_PeakProj!R$3:R$14)</f>
        <v>1157</v>
      </c>
      <c r="U45">
        <f>SUMIF(AR2008_PeakProj!$A$3:$A$14,MOZ!$A$2,AR2008_PeakProj!S$3:S$14)</f>
        <v>1240</v>
      </c>
    </row>
    <row r="46" spans="1:27" x14ac:dyDescent="0.2">
      <c r="A46" s="1" t="s">
        <v>11</v>
      </c>
      <c r="B46" s="1" t="s">
        <v>12</v>
      </c>
      <c r="E46" s="18">
        <f>E45/D45-1</f>
        <v>0.14354066985645941</v>
      </c>
      <c r="F46" s="18">
        <f t="shared" ref="F46:U46" si="18">F45/E45-1</f>
        <v>0.16527196652719667</v>
      </c>
      <c r="G46" s="18">
        <f t="shared" si="18"/>
        <v>4.6678635547576341E-2</v>
      </c>
      <c r="H46" s="18">
        <f t="shared" si="18"/>
        <v>4.4596912521440712E-2</v>
      </c>
      <c r="I46" s="18">
        <f t="shared" si="18"/>
        <v>4.4334975369458185E-2</v>
      </c>
      <c r="J46" s="18">
        <f t="shared" si="18"/>
        <v>4.088050314465419E-2</v>
      </c>
      <c r="K46" s="18">
        <f t="shared" si="18"/>
        <v>7.8549848942598199E-2</v>
      </c>
      <c r="L46" s="18">
        <f t="shared" si="18"/>
        <v>3.7815126050420256E-2</v>
      </c>
      <c r="M46" s="18">
        <f t="shared" si="18"/>
        <v>3.6437246963562764E-2</v>
      </c>
      <c r="N46" s="18">
        <f t="shared" si="18"/>
        <v>3.515625E-2</v>
      </c>
      <c r="O46" s="18">
        <f t="shared" si="18"/>
        <v>3.3962264150943389E-2</v>
      </c>
      <c r="P46" s="18">
        <f t="shared" si="18"/>
        <v>6.5693430656934337E-2</v>
      </c>
      <c r="Q46" s="18">
        <f t="shared" si="18"/>
        <v>7.1917808219178037E-2</v>
      </c>
      <c r="R46" s="18">
        <f t="shared" si="18"/>
        <v>7.24174653887113E-2</v>
      </c>
      <c r="S46" s="18">
        <f t="shared" si="18"/>
        <v>7.1499503475670245E-2</v>
      </c>
      <c r="T46" s="18">
        <f t="shared" si="18"/>
        <v>7.2289156626506035E-2</v>
      </c>
      <c r="U46" s="18">
        <f t="shared" si="18"/>
        <v>7.1737251512532518E-2</v>
      </c>
    </row>
    <row r="47" spans="1:27" ht="15" x14ac:dyDescent="0.25">
      <c r="A47" s="1" t="s">
        <v>39</v>
      </c>
      <c r="B47" s="1" t="s">
        <v>10</v>
      </c>
      <c r="C47">
        <f>SUMIF(PoolPlan_PeakProj!$A$25:$A$36,MOZ!$A$2,PoolPlan_PeakProj!C$25:C$36)</f>
        <v>488</v>
      </c>
      <c r="D47">
        <f>SUMIF(PoolPlan_PeakProj!$A$25:$A$36,MOZ!$A$2,PoolPlan_PeakProj!D$25:D$36)</f>
        <v>537</v>
      </c>
      <c r="E47">
        <f>SUMIF(PoolPlan_PeakProj!$A$25:$A$36,MOZ!$A$2,PoolPlan_PeakProj!E$25:E$36)</f>
        <v>577</v>
      </c>
      <c r="F47">
        <f>SUMIF(PoolPlan_PeakProj!$A$25:$A$36,MOZ!$A$2,PoolPlan_PeakProj!F$25:F$36)</f>
        <v>619</v>
      </c>
      <c r="G47">
        <f>SUMIF(PoolPlan_PeakProj!$A$25:$A$36,MOZ!$A$2,PoolPlan_PeakProj!G$25:G$36)</f>
        <v>651</v>
      </c>
      <c r="H47">
        <f>SUMIF(PoolPlan_PeakProj!$A$25:$A$36,MOZ!$A$2,PoolPlan_PeakProj!H$25:H$36)</f>
        <v>690</v>
      </c>
      <c r="I47">
        <f>SUMIF(PoolPlan_PeakProj!$A$25:$A$36,MOZ!$A$2,PoolPlan_PeakProj!I$25:I$36)</f>
        <v>722</v>
      </c>
      <c r="J47">
        <f>SUMIF(PoolPlan_PeakProj!$A$25:$A$36,MOZ!$A$2,PoolPlan_PeakProj!J$25:J$36)</f>
        <v>757</v>
      </c>
      <c r="K47">
        <f>SUMIF(PoolPlan_PeakProj!$A$25:$A$36,MOZ!$A$2,PoolPlan_PeakProj!K$25:K$36)</f>
        <v>793</v>
      </c>
      <c r="L47">
        <f>SUMIF(PoolPlan_PeakProj!$A$25:$A$36,MOZ!$A$2,PoolPlan_PeakProj!L$25:L$36)</f>
        <v>821</v>
      </c>
      <c r="M47">
        <f>SUMIF(PoolPlan_PeakProj!$A$25:$A$36,MOZ!$A$2,PoolPlan_PeakProj!M$25:M$36)</f>
        <v>857</v>
      </c>
      <c r="N47">
        <f>SUMIF(PoolPlan_PeakProj!$A$25:$A$36,MOZ!$A$2,PoolPlan_PeakProj!N$25:N$36)</f>
        <v>894</v>
      </c>
      <c r="O47">
        <f>SUMIF(PoolPlan_PeakProj!$A$25:$A$36,MOZ!$A$2,PoolPlan_PeakProj!O$25:O$36)</f>
        <v>933</v>
      </c>
      <c r="P47">
        <f>SUMIF(PoolPlan_PeakProj!$A$25:$A$36,MOZ!$A$2,PoolPlan_PeakProj!P$25:P$36)</f>
        <v>974</v>
      </c>
      <c r="Q47">
        <f>SUMIF(PoolPlan_PeakProj!$A$25:$A$36,MOZ!$A$2,PoolPlan_PeakProj!Q$25:Q$36)</f>
        <v>1017</v>
      </c>
      <c r="R47">
        <f>SUMIF(PoolPlan_PeakProj!$A$25:$A$36,MOZ!$A$2,PoolPlan_PeakProj!R$25:R$36)</f>
        <v>1061</v>
      </c>
      <c r="S47">
        <f>SUMIF(PoolPlan_PeakProj!$A$25:$A$36,MOZ!$A$2,PoolPlan_PeakProj!S$25:S$36)</f>
        <v>1108</v>
      </c>
      <c r="T47">
        <f>SUMIF(PoolPlan_PeakProj!$A$25:$A$36,MOZ!$A$2,PoolPlan_PeakProj!T$25:T$36)</f>
        <v>1157</v>
      </c>
      <c r="U47">
        <f>SUMIF(PoolPlan_PeakProj!$A$25:$A$36,MOZ!$A$2,PoolPlan_PeakProj!U$25:U$36)</f>
        <v>1208</v>
      </c>
    </row>
    <row r="48" spans="1:27" x14ac:dyDescent="0.2">
      <c r="A48" s="1" t="s">
        <v>11</v>
      </c>
      <c r="B48" s="1"/>
      <c r="D48" s="18">
        <f>D47/C47-1</f>
        <v>0.10040983606557385</v>
      </c>
      <c r="E48" s="18">
        <f t="shared" ref="E48:U48" si="19">E47/D47-1</f>
        <v>7.4487895716945918E-2</v>
      </c>
      <c r="F48" s="18">
        <f t="shared" si="19"/>
        <v>7.2790294627383068E-2</v>
      </c>
      <c r="G48" s="18">
        <f t="shared" si="19"/>
        <v>5.1696284329563857E-2</v>
      </c>
      <c r="H48" s="18">
        <f t="shared" si="19"/>
        <v>5.9907834101382562E-2</v>
      </c>
      <c r="I48" s="18">
        <f t="shared" si="19"/>
        <v>4.6376811594202927E-2</v>
      </c>
      <c r="J48" s="18">
        <f t="shared" si="19"/>
        <v>4.8476454293628901E-2</v>
      </c>
      <c r="K48" s="18">
        <f t="shared" si="19"/>
        <v>4.7556142668428114E-2</v>
      </c>
      <c r="L48" s="18">
        <f t="shared" si="19"/>
        <v>3.5308953341740335E-2</v>
      </c>
      <c r="M48" s="18">
        <f t="shared" si="19"/>
        <v>4.3848964677222879E-2</v>
      </c>
      <c r="N48" s="18">
        <f t="shared" si="19"/>
        <v>4.3173862310385003E-2</v>
      </c>
      <c r="O48" s="18">
        <f t="shared" si="19"/>
        <v>4.3624161073825496E-2</v>
      </c>
      <c r="P48" s="18">
        <f t="shared" si="19"/>
        <v>4.3944265809217509E-2</v>
      </c>
      <c r="Q48" s="18">
        <f t="shared" si="19"/>
        <v>4.4147843942505149E-2</v>
      </c>
      <c r="R48" s="18">
        <f t="shared" si="19"/>
        <v>4.3264503441494684E-2</v>
      </c>
      <c r="S48" s="18">
        <f t="shared" si="19"/>
        <v>4.429783223374173E-2</v>
      </c>
      <c r="T48" s="18">
        <f t="shared" si="19"/>
        <v>4.4223826714801406E-2</v>
      </c>
      <c r="U48" s="18">
        <f t="shared" si="19"/>
        <v>4.4079515989628337E-2</v>
      </c>
    </row>
    <row r="49" spans="1:20" x14ac:dyDescent="0.2">
      <c r="A49" s="1" t="s">
        <v>70</v>
      </c>
      <c r="B49" s="1" t="s">
        <v>12</v>
      </c>
      <c r="D49" s="18">
        <f t="shared" ref="D49:T49" si="20">D40/(D45*8.76)</f>
        <v>0.78679731707849954</v>
      </c>
      <c r="E49" s="18">
        <f t="shared" si="20"/>
        <v>0.74487495462448183</v>
      </c>
      <c r="F49" s="18">
        <f t="shared" si="20"/>
        <v>0.68780075912217276</v>
      </c>
      <c r="G49" s="18">
        <f t="shared" si="20"/>
        <v>0.68943505878114308</v>
      </c>
      <c r="H49" s="18">
        <f t="shared" si="20"/>
        <v>0.69111725937422674</v>
      </c>
      <c r="I49" s="18">
        <f t="shared" si="20"/>
        <v>0.69139312483845961</v>
      </c>
      <c r="J49" s="18">
        <f t="shared" si="20"/>
        <v>0.69274303687456029</v>
      </c>
      <c r="K49" s="18">
        <f t="shared" si="20"/>
        <v>0.69516391031298375</v>
      </c>
      <c r="L49" s="18">
        <f t="shared" si="20"/>
        <v>0.69663973773562815</v>
      </c>
      <c r="M49" s="18">
        <f t="shared" si="20"/>
        <v>0.69786315639269403</v>
      </c>
      <c r="N49" s="18">
        <f t="shared" si="20"/>
        <v>0.69914706642543289</v>
      </c>
      <c r="O49" s="18">
        <f t="shared" si="20"/>
        <v>0.70020775700207749</v>
      </c>
      <c r="P49" s="18">
        <f t="shared" si="20"/>
        <v>0.70226329726235903</v>
      </c>
      <c r="Q49" s="18">
        <f t="shared" si="20"/>
        <v>0.70231617235862498</v>
      </c>
      <c r="R49" s="18">
        <f t="shared" si="20"/>
        <v>0.70204912643459261</v>
      </c>
      <c r="S49" s="18">
        <f t="shared" si="20"/>
        <v>0.70238805591173981</v>
      </c>
      <c r="T49" s="18">
        <f t="shared" si="20"/>
        <v>0.70219785857772621</v>
      </c>
    </row>
    <row r="50" spans="1:20" x14ac:dyDescent="0.2">
      <c r="A50" s="1" t="s">
        <v>41</v>
      </c>
      <c r="C50" s="18">
        <f t="shared" ref="C50:T50" si="21">C42/(C47*8.76)</f>
        <v>0.67206564862639417</v>
      </c>
      <c r="D50" s="18">
        <f t="shared" si="21"/>
        <v>0.68875793984847322</v>
      </c>
      <c r="E50" s="18">
        <f t="shared" si="21"/>
        <v>0.69343874393612059</v>
      </c>
      <c r="F50" s="18">
        <f t="shared" si="21"/>
        <v>0.69304593504031398</v>
      </c>
      <c r="G50" s="18">
        <f t="shared" si="21"/>
        <v>0.70071333880436837</v>
      </c>
      <c r="H50" s="18">
        <f t="shared" si="21"/>
        <v>0.70627357554099668</v>
      </c>
      <c r="I50" s="18">
        <f t="shared" si="21"/>
        <v>0.70580199597768756</v>
      </c>
      <c r="J50" s="18">
        <f t="shared" si="21"/>
        <v>0.70544024417461382</v>
      </c>
      <c r="K50" s="18">
        <f t="shared" si="21"/>
        <v>0.70508501903067367</v>
      </c>
      <c r="L50" s="18">
        <f t="shared" si="21"/>
        <v>0.70690048331748234</v>
      </c>
      <c r="M50" s="18">
        <f t="shared" si="21"/>
        <v>0.70624403915112188</v>
      </c>
      <c r="N50" s="18">
        <f t="shared" si="21"/>
        <v>0.70421276291461088</v>
      </c>
      <c r="O50" s="18">
        <f t="shared" si="21"/>
        <v>0.70181620637507525</v>
      </c>
      <c r="P50" s="18">
        <f t="shared" si="21"/>
        <v>0.69923021387115225</v>
      </c>
      <c r="Q50" s="18">
        <f t="shared" si="21"/>
        <v>0.69649295313012127</v>
      </c>
      <c r="R50" s="18">
        <f t="shared" si="21"/>
        <v>0.69439961438980191</v>
      </c>
      <c r="S50" s="18">
        <f t="shared" si="21"/>
        <v>0.69162834017440611</v>
      </c>
      <c r="T50" s="18">
        <f t="shared" si="21"/>
        <v>0.68887810153009477</v>
      </c>
    </row>
    <row r="51" spans="1:20" x14ac:dyDescent="0.2">
      <c r="A51" s="1" t="s">
        <v>114</v>
      </c>
      <c r="C51" s="18"/>
      <c r="D51" s="16">
        <f>D50/C50-1</f>
        <v>2.4837292690372825E-2</v>
      </c>
      <c r="E51" s="16">
        <f t="shared" ref="E51:T51" si="22">E50/D50-1</f>
        <v>6.7960074459210151E-3</v>
      </c>
      <c r="F51" s="16">
        <f t="shared" si="22"/>
        <v>-5.6646516976677219E-4</v>
      </c>
      <c r="G51" s="16">
        <f t="shared" si="22"/>
        <v>1.1063341369440982E-2</v>
      </c>
      <c r="H51" s="16">
        <f t="shared" si="22"/>
        <v>7.9351090220656229E-3</v>
      </c>
      <c r="I51" s="16">
        <f t="shared" si="22"/>
        <v>-6.6770098675705825E-4</v>
      </c>
      <c r="J51" s="16">
        <f t="shared" si="22"/>
        <v>-5.1254006808609809E-4</v>
      </c>
      <c r="K51" s="16">
        <f t="shared" si="22"/>
        <v>-5.0355100502630368E-4</v>
      </c>
      <c r="L51" s="16">
        <f t="shared" si="22"/>
        <v>2.5748161396259572E-3</v>
      </c>
      <c r="M51" s="16">
        <f t="shared" si="22"/>
        <v>-9.2862316811526124E-4</v>
      </c>
      <c r="N51" s="16">
        <f t="shared" si="22"/>
        <v>-2.8761676189897889E-3</v>
      </c>
      <c r="O51" s="16">
        <f t="shared" si="22"/>
        <v>-3.4031711234779882E-3</v>
      </c>
      <c r="P51" s="16">
        <f t="shared" si="22"/>
        <v>-3.684714716520765E-3</v>
      </c>
      <c r="Q51" s="16">
        <f t="shared" si="22"/>
        <v>-3.9146774363147951E-3</v>
      </c>
      <c r="R51" s="16">
        <f t="shared" si="22"/>
        <v>-3.0055418808068168E-3</v>
      </c>
      <c r="S51" s="16">
        <f t="shared" si="22"/>
        <v>-3.9908925033477205E-3</v>
      </c>
      <c r="T51" s="16">
        <f t="shared" si="22"/>
        <v>-3.9764689856662816E-3</v>
      </c>
    </row>
    <row r="52" spans="1:20" ht="15" x14ac:dyDescent="0.25">
      <c r="A52" s="1" t="s">
        <v>84</v>
      </c>
      <c r="B52" s="1" t="s">
        <v>10</v>
      </c>
      <c r="C52" s="38">
        <f>VLOOKUP($A$2,AR2008_Stats!$B$4:$O$15,AR2008_Stats!E$1,FALSE)</f>
        <v>174</v>
      </c>
    </row>
    <row r="53" spans="1:20" ht="15" x14ac:dyDescent="0.25">
      <c r="A53" s="1" t="s">
        <v>83</v>
      </c>
      <c r="B53" s="1" t="s">
        <v>10</v>
      </c>
      <c r="C53" s="74">
        <f>VLOOKUP($A$2,'[1]Total Existing Capacity'!$A$3:$J$14,5,FALSE)</f>
        <v>2186</v>
      </c>
    </row>
    <row r="55" spans="1:20" x14ac:dyDescent="0.2">
      <c r="A55" s="3" t="s">
        <v>71</v>
      </c>
    </row>
    <row r="56" spans="1:20" x14ac:dyDescent="0.2">
      <c r="A56" s="2" t="s">
        <v>72</v>
      </c>
    </row>
    <row r="57" spans="1:20" x14ac:dyDescent="0.2">
      <c r="A57" s="2" t="s">
        <v>73</v>
      </c>
    </row>
    <row r="59" spans="1:20" x14ac:dyDescent="0.2">
      <c r="A59" s="3" t="s">
        <v>80</v>
      </c>
    </row>
    <row r="60" spans="1:20" ht="15" x14ac:dyDescent="0.25">
      <c r="A60" t="s">
        <v>13</v>
      </c>
      <c r="B60" s="2" t="s">
        <v>97</v>
      </c>
    </row>
    <row r="61" spans="1:20" ht="15" x14ac:dyDescent="0.25">
      <c r="A61" t="s">
        <v>14</v>
      </c>
      <c r="B61" s="2" t="s">
        <v>98</v>
      </c>
    </row>
    <row r="62" spans="1:20" ht="15" x14ac:dyDescent="0.25">
      <c r="A62" t="s">
        <v>15</v>
      </c>
      <c r="B62" s="2" t="s">
        <v>32</v>
      </c>
    </row>
    <row r="63" spans="1:20" ht="15" x14ac:dyDescent="0.25">
      <c r="A63" t="s">
        <v>16</v>
      </c>
      <c r="B63" s="2" t="s">
        <v>99</v>
      </c>
    </row>
    <row r="64" spans="1:20" ht="15" x14ac:dyDescent="0.25">
      <c r="A64" t="s">
        <v>17</v>
      </c>
      <c r="B64" s="2" t="s">
        <v>100</v>
      </c>
    </row>
    <row r="65" spans="1:2" ht="15" x14ac:dyDescent="0.25">
      <c r="A65" t="s">
        <v>18</v>
      </c>
      <c r="B65" s="2" t="s">
        <v>101</v>
      </c>
    </row>
    <row r="66" spans="1:2" ht="15" x14ac:dyDescent="0.25">
      <c r="A66" t="s">
        <v>19</v>
      </c>
      <c r="B66" s="2" t="s">
        <v>102</v>
      </c>
    </row>
    <row r="67" spans="1:2" ht="15" x14ac:dyDescent="0.25">
      <c r="A67" t="s">
        <v>21</v>
      </c>
      <c r="B67" s="2" t="s">
        <v>103</v>
      </c>
    </row>
    <row r="68" spans="1:2" ht="15" x14ac:dyDescent="0.25">
      <c r="A68" t="s">
        <v>22</v>
      </c>
      <c r="B68" s="2" t="s">
        <v>104</v>
      </c>
    </row>
    <row r="69" spans="1:2" ht="15" x14ac:dyDescent="0.25">
      <c r="A69" t="s">
        <v>23</v>
      </c>
      <c r="B69" s="2" t="s">
        <v>105</v>
      </c>
    </row>
    <row r="70" spans="1:2" ht="15" x14ac:dyDescent="0.25">
      <c r="A70" t="s">
        <v>24</v>
      </c>
      <c r="B70" s="2" t="s">
        <v>106</v>
      </c>
    </row>
    <row r="71" spans="1:2" ht="15" x14ac:dyDescent="0.25">
      <c r="A71" t="s">
        <v>20</v>
      </c>
      <c r="B71" s="2" t="s">
        <v>107</v>
      </c>
    </row>
  </sheetData>
  <dataValidations count="4">
    <dataValidation type="list" allowBlank="1" showInputMessage="1" showErrorMessage="1" sqref="B18">
      <formula1>$B$60:$B$71</formula1>
    </dataValidation>
    <dataValidation type="list" allowBlank="1" showInputMessage="1" showErrorMessage="1" sqref="B13:B17">
      <formula1>$B$60:$B$72</formula1>
    </dataValidation>
    <dataValidation type="list" allowBlank="1" showInputMessage="1" showErrorMessage="1" sqref="B3">
      <formula1>$A$56:$A$57</formula1>
    </dataValidation>
    <dataValidation type="list" allowBlank="1" showInputMessage="1" showErrorMessage="1" sqref="A2">
      <formula1>$A$60:$A$71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D71"/>
  <sheetViews>
    <sheetView workbookViewId="0"/>
  </sheetViews>
  <sheetFormatPr defaultRowHeight="12.75" x14ac:dyDescent="0.2"/>
  <cols>
    <col min="1" max="1" width="66.140625" style="2" customWidth="1"/>
    <col min="2" max="2" width="9.140625" style="2"/>
    <col min="3" max="26" width="11.28515625" style="2" bestFit="1" customWidth="1"/>
    <col min="27" max="27" width="9.85546875" style="2" customWidth="1"/>
    <col min="28" max="253" width="9.140625" style="2"/>
    <col min="254" max="254" width="66.140625" style="2" customWidth="1"/>
    <col min="255" max="257" width="9.140625" style="2"/>
    <col min="258" max="258" width="9.7109375" style="2" customWidth="1"/>
    <col min="259" max="282" width="11.28515625" style="2" bestFit="1" customWidth="1"/>
    <col min="283" max="509" width="9.140625" style="2"/>
    <col min="510" max="510" width="66.140625" style="2" customWidth="1"/>
    <col min="511" max="513" width="9.140625" style="2"/>
    <col min="514" max="514" width="9.7109375" style="2" customWidth="1"/>
    <col min="515" max="538" width="11.28515625" style="2" bestFit="1" customWidth="1"/>
    <col min="539" max="765" width="9.140625" style="2"/>
    <col min="766" max="766" width="66.140625" style="2" customWidth="1"/>
    <col min="767" max="769" width="9.140625" style="2"/>
    <col min="770" max="770" width="9.7109375" style="2" customWidth="1"/>
    <col min="771" max="794" width="11.28515625" style="2" bestFit="1" customWidth="1"/>
    <col min="795" max="1021" width="9.140625" style="2"/>
    <col min="1022" max="1022" width="66.140625" style="2" customWidth="1"/>
    <col min="1023" max="1025" width="9.140625" style="2"/>
    <col min="1026" max="1026" width="9.7109375" style="2" customWidth="1"/>
    <col min="1027" max="1050" width="11.28515625" style="2" bestFit="1" customWidth="1"/>
    <col min="1051" max="1277" width="9.140625" style="2"/>
    <col min="1278" max="1278" width="66.140625" style="2" customWidth="1"/>
    <col min="1279" max="1281" width="9.140625" style="2"/>
    <col min="1282" max="1282" width="9.7109375" style="2" customWidth="1"/>
    <col min="1283" max="1306" width="11.28515625" style="2" bestFit="1" customWidth="1"/>
    <col min="1307" max="1533" width="9.140625" style="2"/>
    <col min="1534" max="1534" width="66.140625" style="2" customWidth="1"/>
    <col min="1535" max="1537" width="9.140625" style="2"/>
    <col min="1538" max="1538" width="9.7109375" style="2" customWidth="1"/>
    <col min="1539" max="1562" width="11.28515625" style="2" bestFit="1" customWidth="1"/>
    <col min="1563" max="1789" width="9.140625" style="2"/>
    <col min="1790" max="1790" width="66.140625" style="2" customWidth="1"/>
    <col min="1791" max="1793" width="9.140625" style="2"/>
    <col min="1794" max="1794" width="9.7109375" style="2" customWidth="1"/>
    <col min="1795" max="1818" width="11.28515625" style="2" bestFit="1" customWidth="1"/>
    <col min="1819" max="2045" width="9.140625" style="2"/>
    <col min="2046" max="2046" width="66.140625" style="2" customWidth="1"/>
    <col min="2047" max="2049" width="9.140625" style="2"/>
    <col min="2050" max="2050" width="9.7109375" style="2" customWidth="1"/>
    <col min="2051" max="2074" width="11.28515625" style="2" bestFit="1" customWidth="1"/>
    <col min="2075" max="2301" width="9.140625" style="2"/>
    <col min="2302" max="2302" width="66.140625" style="2" customWidth="1"/>
    <col min="2303" max="2305" width="9.140625" style="2"/>
    <col min="2306" max="2306" width="9.7109375" style="2" customWidth="1"/>
    <col min="2307" max="2330" width="11.28515625" style="2" bestFit="1" customWidth="1"/>
    <col min="2331" max="2557" width="9.140625" style="2"/>
    <col min="2558" max="2558" width="66.140625" style="2" customWidth="1"/>
    <col min="2559" max="2561" width="9.140625" style="2"/>
    <col min="2562" max="2562" width="9.7109375" style="2" customWidth="1"/>
    <col min="2563" max="2586" width="11.28515625" style="2" bestFit="1" customWidth="1"/>
    <col min="2587" max="2813" width="9.140625" style="2"/>
    <col min="2814" max="2814" width="66.140625" style="2" customWidth="1"/>
    <col min="2815" max="2817" width="9.140625" style="2"/>
    <col min="2818" max="2818" width="9.7109375" style="2" customWidth="1"/>
    <col min="2819" max="2842" width="11.28515625" style="2" bestFit="1" customWidth="1"/>
    <col min="2843" max="3069" width="9.140625" style="2"/>
    <col min="3070" max="3070" width="66.140625" style="2" customWidth="1"/>
    <col min="3071" max="3073" width="9.140625" style="2"/>
    <col min="3074" max="3074" width="9.7109375" style="2" customWidth="1"/>
    <col min="3075" max="3098" width="11.28515625" style="2" bestFit="1" customWidth="1"/>
    <col min="3099" max="3325" width="9.140625" style="2"/>
    <col min="3326" max="3326" width="66.140625" style="2" customWidth="1"/>
    <col min="3327" max="3329" width="9.140625" style="2"/>
    <col min="3330" max="3330" width="9.7109375" style="2" customWidth="1"/>
    <col min="3331" max="3354" width="11.28515625" style="2" bestFit="1" customWidth="1"/>
    <col min="3355" max="3581" width="9.140625" style="2"/>
    <col min="3582" max="3582" width="66.140625" style="2" customWidth="1"/>
    <col min="3583" max="3585" width="9.140625" style="2"/>
    <col min="3586" max="3586" width="9.7109375" style="2" customWidth="1"/>
    <col min="3587" max="3610" width="11.28515625" style="2" bestFit="1" customWidth="1"/>
    <col min="3611" max="3837" width="9.140625" style="2"/>
    <col min="3838" max="3838" width="66.140625" style="2" customWidth="1"/>
    <col min="3839" max="3841" width="9.140625" style="2"/>
    <col min="3842" max="3842" width="9.7109375" style="2" customWidth="1"/>
    <col min="3843" max="3866" width="11.28515625" style="2" bestFit="1" customWidth="1"/>
    <col min="3867" max="4093" width="9.140625" style="2"/>
    <col min="4094" max="4094" width="66.140625" style="2" customWidth="1"/>
    <col min="4095" max="4097" width="9.140625" style="2"/>
    <col min="4098" max="4098" width="9.7109375" style="2" customWidth="1"/>
    <col min="4099" max="4122" width="11.28515625" style="2" bestFit="1" customWidth="1"/>
    <col min="4123" max="4349" width="9.140625" style="2"/>
    <col min="4350" max="4350" width="66.140625" style="2" customWidth="1"/>
    <col min="4351" max="4353" width="9.140625" style="2"/>
    <col min="4354" max="4354" width="9.7109375" style="2" customWidth="1"/>
    <col min="4355" max="4378" width="11.28515625" style="2" bestFit="1" customWidth="1"/>
    <col min="4379" max="4605" width="9.140625" style="2"/>
    <col min="4606" max="4606" width="66.140625" style="2" customWidth="1"/>
    <col min="4607" max="4609" width="9.140625" style="2"/>
    <col min="4610" max="4610" width="9.7109375" style="2" customWidth="1"/>
    <col min="4611" max="4634" width="11.28515625" style="2" bestFit="1" customWidth="1"/>
    <col min="4635" max="4861" width="9.140625" style="2"/>
    <col min="4862" max="4862" width="66.140625" style="2" customWidth="1"/>
    <col min="4863" max="4865" width="9.140625" style="2"/>
    <col min="4866" max="4866" width="9.7109375" style="2" customWidth="1"/>
    <col min="4867" max="4890" width="11.28515625" style="2" bestFit="1" customWidth="1"/>
    <col min="4891" max="5117" width="9.140625" style="2"/>
    <col min="5118" max="5118" width="66.140625" style="2" customWidth="1"/>
    <col min="5119" max="5121" width="9.140625" style="2"/>
    <col min="5122" max="5122" width="9.7109375" style="2" customWidth="1"/>
    <col min="5123" max="5146" width="11.28515625" style="2" bestFit="1" customWidth="1"/>
    <col min="5147" max="5373" width="9.140625" style="2"/>
    <col min="5374" max="5374" width="66.140625" style="2" customWidth="1"/>
    <col min="5375" max="5377" width="9.140625" style="2"/>
    <col min="5378" max="5378" width="9.7109375" style="2" customWidth="1"/>
    <col min="5379" max="5402" width="11.28515625" style="2" bestFit="1" customWidth="1"/>
    <col min="5403" max="5629" width="9.140625" style="2"/>
    <col min="5630" max="5630" width="66.140625" style="2" customWidth="1"/>
    <col min="5631" max="5633" width="9.140625" style="2"/>
    <col min="5634" max="5634" width="9.7109375" style="2" customWidth="1"/>
    <col min="5635" max="5658" width="11.28515625" style="2" bestFit="1" customWidth="1"/>
    <col min="5659" max="5885" width="9.140625" style="2"/>
    <col min="5886" max="5886" width="66.140625" style="2" customWidth="1"/>
    <col min="5887" max="5889" width="9.140625" style="2"/>
    <col min="5890" max="5890" width="9.7109375" style="2" customWidth="1"/>
    <col min="5891" max="5914" width="11.28515625" style="2" bestFit="1" customWidth="1"/>
    <col min="5915" max="6141" width="9.140625" style="2"/>
    <col min="6142" max="6142" width="66.140625" style="2" customWidth="1"/>
    <col min="6143" max="6145" width="9.140625" style="2"/>
    <col min="6146" max="6146" width="9.7109375" style="2" customWidth="1"/>
    <col min="6147" max="6170" width="11.28515625" style="2" bestFit="1" customWidth="1"/>
    <col min="6171" max="6397" width="9.140625" style="2"/>
    <col min="6398" max="6398" width="66.140625" style="2" customWidth="1"/>
    <col min="6399" max="6401" width="9.140625" style="2"/>
    <col min="6402" max="6402" width="9.7109375" style="2" customWidth="1"/>
    <col min="6403" max="6426" width="11.28515625" style="2" bestFit="1" customWidth="1"/>
    <col min="6427" max="6653" width="9.140625" style="2"/>
    <col min="6654" max="6654" width="66.140625" style="2" customWidth="1"/>
    <col min="6655" max="6657" width="9.140625" style="2"/>
    <col min="6658" max="6658" width="9.7109375" style="2" customWidth="1"/>
    <col min="6659" max="6682" width="11.28515625" style="2" bestFit="1" customWidth="1"/>
    <col min="6683" max="6909" width="9.140625" style="2"/>
    <col min="6910" max="6910" width="66.140625" style="2" customWidth="1"/>
    <col min="6911" max="6913" width="9.140625" style="2"/>
    <col min="6914" max="6914" width="9.7109375" style="2" customWidth="1"/>
    <col min="6915" max="6938" width="11.28515625" style="2" bestFit="1" customWidth="1"/>
    <col min="6939" max="7165" width="9.140625" style="2"/>
    <col min="7166" max="7166" width="66.140625" style="2" customWidth="1"/>
    <col min="7167" max="7169" width="9.140625" style="2"/>
    <col min="7170" max="7170" width="9.7109375" style="2" customWidth="1"/>
    <col min="7171" max="7194" width="11.28515625" style="2" bestFit="1" customWidth="1"/>
    <col min="7195" max="7421" width="9.140625" style="2"/>
    <col min="7422" max="7422" width="66.140625" style="2" customWidth="1"/>
    <col min="7423" max="7425" width="9.140625" style="2"/>
    <col min="7426" max="7426" width="9.7109375" style="2" customWidth="1"/>
    <col min="7427" max="7450" width="11.28515625" style="2" bestFit="1" customWidth="1"/>
    <col min="7451" max="7677" width="9.140625" style="2"/>
    <col min="7678" max="7678" width="66.140625" style="2" customWidth="1"/>
    <col min="7679" max="7681" width="9.140625" style="2"/>
    <col min="7682" max="7682" width="9.7109375" style="2" customWidth="1"/>
    <col min="7683" max="7706" width="11.28515625" style="2" bestFit="1" customWidth="1"/>
    <col min="7707" max="7933" width="9.140625" style="2"/>
    <col min="7934" max="7934" width="66.140625" style="2" customWidth="1"/>
    <col min="7935" max="7937" width="9.140625" style="2"/>
    <col min="7938" max="7938" width="9.7109375" style="2" customWidth="1"/>
    <col min="7939" max="7962" width="11.28515625" style="2" bestFit="1" customWidth="1"/>
    <col min="7963" max="8189" width="9.140625" style="2"/>
    <col min="8190" max="8190" width="66.140625" style="2" customWidth="1"/>
    <col min="8191" max="8193" width="9.140625" style="2"/>
    <col min="8194" max="8194" width="9.7109375" style="2" customWidth="1"/>
    <col min="8195" max="8218" width="11.28515625" style="2" bestFit="1" customWidth="1"/>
    <col min="8219" max="8445" width="9.140625" style="2"/>
    <col min="8446" max="8446" width="66.140625" style="2" customWidth="1"/>
    <col min="8447" max="8449" width="9.140625" style="2"/>
    <col min="8450" max="8450" width="9.7109375" style="2" customWidth="1"/>
    <col min="8451" max="8474" width="11.28515625" style="2" bestFit="1" customWidth="1"/>
    <col min="8475" max="8701" width="9.140625" style="2"/>
    <col min="8702" max="8702" width="66.140625" style="2" customWidth="1"/>
    <col min="8703" max="8705" width="9.140625" style="2"/>
    <col min="8706" max="8706" width="9.7109375" style="2" customWidth="1"/>
    <col min="8707" max="8730" width="11.28515625" style="2" bestFit="1" customWidth="1"/>
    <col min="8731" max="8957" width="9.140625" style="2"/>
    <col min="8958" max="8958" width="66.140625" style="2" customWidth="1"/>
    <col min="8959" max="8961" width="9.140625" style="2"/>
    <col min="8962" max="8962" width="9.7109375" style="2" customWidth="1"/>
    <col min="8963" max="8986" width="11.28515625" style="2" bestFit="1" customWidth="1"/>
    <col min="8987" max="9213" width="9.140625" style="2"/>
    <col min="9214" max="9214" width="66.140625" style="2" customWidth="1"/>
    <col min="9215" max="9217" width="9.140625" style="2"/>
    <col min="9218" max="9218" width="9.7109375" style="2" customWidth="1"/>
    <col min="9219" max="9242" width="11.28515625" style="2" bestFit="1" customWidth="1"/>
    <col min="9243" max="9469" width="9.140625" style="2"/>
    <col min="9470" max="9470" width="66.140625" style="2" customWidth="1"/>
    <col min="9471" max="9473" width="9.140625" style="2"/>
    <col min="9474" max="9474" width="9.7109375" style="2" customWidth="1"/>
    <col min="9475" max="9498" width="11.28515625" style="2" bestFit="1" customWidth="1"/>
    <col min="9499" max="9725" width="9.140625" style="2"/>
    <col min="9726" max="9726" width="66.140625" style="2" customWidth="1"/>
    <col min="9727" max="9729" width="9.140625" style="2"/>
    <col min="9730" max="9730" width="9.7109375" style="2" customWidth="1"/>
    <col min="9731" max="9754" width="11.28515625" style="2" bestFit="1" customWidth="1"/>
    <col min="9755" max="9981" width="9.140625" style="2"/>
    <col min="9982" max="9982" width="66.140625" style="2" customWidth="1"/>
    <col min="9983" max="9985" width="9.140625" style="2"/>
    <col min="9986" max="9986" width="9.7109375" style="2" customWidth="1"/>
    <col min="9987" max="10010" width="11.28515625" style="2" bestFit="1" customWidth="1"/>
    <col min="10011" max="10237" width="9.140625" style="2"/>
    <col min="10238" max="10238" width="66.140625" style="2" customWidth="1"/>
    <col min="10239" max="10241" width="9.140625" style="2"/>
    <col min="10242" max="10242" width="9.7109375" style="2" customWidth="1"/>
    <col min="10243" max="10266" width="11.28515625" style="2" bestFit="1" customWidth="1"/>
    <col min="10267" max="10493" width="9.140625" style="2"/>
    <col min="10494" max="10494" width="66.140625" style="2" customWidth="1"/>
    <col min="10495" max="10497" width="9.140625" style="2"/>
    <col min="10498" max="10498" width="9.7109375" style="2" customWidth="1"/>
    <col min="10499" max="10522" width="11.28515625" style="2" bestFit="1" customWidth="1"/>
    <col min="10523" max="10749" width="9.140625" style="2"/>
    <col min="10750" max="10750" width="66.140625" style="2" customWidth="1"/>
    <col min="10751" max="10753" width="9.140625" style="2"/>
    <col min="10754" max="10754" width="9.7109375" style="2" customWidth="1"/>
    <col min="10755" max="10778" width="11.28515625" style="2" bestFit="1" customWidth="1"/>
    <col min="10779" max="11005" width="9.140625" style="2"/>
    <col min="11006" max="11006" width="66.140625" style="2" customWidth="1"/>
    <col min="11007" max="11009" width="9.140625" style="2"/>
    <col min="11010" max="11010" width="9.7109375" style="2" customWidth="1"/>
    <col min="11011" max="11034" width="11.28515625" style="2" bestFit="1" customWidth="1"/>
    <col min="11035" max="11261" width="9.140625" style="2"/>
    <col min="11262" max="11262" width="66.140625" style="2" customWidth="1"/>
    <col min="11263" max="11265" width="9.140625" style="2"/>
    <col min="11266" max="11266" width="9.7109375" style="2" customWidth="1"/>
    <col min="11267" max="11290" width="11.28515625" style="2" bestFit="1" customWidth="1"/>
    <col min="11291" max="11517" width="9.140625" style="2"/>
    <col min="11518" max="11518" width="66.140625" style="2" customWidth="1"/>
    <col min="11519" max="11521" width="9.140625" style="2"/>
    <col min="11522" max="11522" width="9.7109375" style="2" customWidth="1"/>
    <col min="11523" max="11546" width="11.28515625" style="2" bestFit="1" customWidth="1"/>
    <col min="11547" max="11773" width="9.140625" style="2"/>
    <col min="11774" max="11774" width="66.140625" style="2" customWidth="1"/>
    <col min="11775" max="11777" width="9.140625" style="2"/>
    <col min="11778" max="11778" width="9.7109375" style="2" customWidth="1"/>
    <col min="11779" max="11802" width="11.28515625" style="2" bestFit="1" customWidth="1"/>
    <col min="11803" max="12029" width="9.140625" style="2"/>
    <col min="12030" max="12030" width="66.140625" style="2" customWidth="1"/>
    <col min="12031" max="12033" width="9.140625" style="2"/>
    <col min="12034" max="12034" width="9.7109375" style="2" customWidth="1"/>
    <col min="12035" max="12058" width="11.28515625" style="2" bestFit="1" customWidth="1"/>
    <col min="12059" max="12285" width="9.140625" style="2"/>
    <col min="12286" max="12286" width="66.140625" style="2" customWidth="1"/>
    <col min="12287" max="12289" width="9.140625" style="2"/>
    <col min="12290" max="12290" width="9.7109375" style="2" customWidth="1"/>
    <col min="12291" max="12314" width="11.28515625" style="2" bestFit="1" customWidth="1"/>
    <col min="12315" max="12541" width="9.140625" style="2"/>
    <col min="12542" max="12542" width="66.140625" style="2" customWidth="1"/>
    <col min="12543" max="12545" width="9.140625" style="2"/>
    <col min="12546" max="12546" width="9.7109375" style="2" customWidth="1"/>
    <col min="12547" max="12570" width="11.28515625" style="2" bestFit="1" customWidth="1"/>
    <col min="12571" max="12797" width="9.140625" style="2"/>
    <col min="12798" max="12798" width="66.140625" style="2" customWidth="1"/>
    <col min="12799" max="12801" width="9.140625" style="2"/>
    <col min="12802" max="12802" width="9.7109375" style="2" customWidth="1"/>
    <col min="12803" max="12826" width="11.28515625" style="2" bestFit="1" customWidth="1"/>
    <col min="12827" max="13053" width="9.140625" style="2"/>
    <col min="13054" max="13054" width="66.140625" style="2" customWidth="1"/>
    <col min="13055" max="13057" width="9.140625" style="2"/>
    <col min="13058" max="13058" width="9.7109375" style="2" customWidth="1"/>
    <col min="13059" max="13082" width="11.28515625" style="2" bestFit="1" customWidth="1"/>
    <col min="13083" max="13309" width="9.140625" style="2"/>
    <col min="13310" max="13310" width="66.140625" style="2" customWidth="1"/>
    <col min="13311" max="13313" width="9.140625" style="2"/>
    <col min="13314" max="13314" width="9.7109375" style="2" customWidth="1"/>
    <col min="13315" max="13338" width="11.28515625" style="2" bestFit="1" customWidth="1"/>
    <col min="13339" max="13565" width="9.140625" style="2"/>
    <col min="13566" max="13566" width="66.140625" style="2" customWidth="1"/>
    <col min="13567" max="13569" width="9.140625" style="2"/>
    <col min="13570" max="13570" width="9.7109375" style="2" customWidth="1"/>
    <col min="13571" max="13594" width="11.28515625" style="2" bestFit="1" customWidth="1"/>
    <col min="13595" max="13821" width="9.140625" style="2"/>
    <col min="13822" max="13822" width="66.140625" style="2" customWidth="1"/>
    <col min="13823" max="13825" width="9.140625" style="2"/>
    <col min="13826" max="13826" width="9.7109375" style="2" customWidth="1"/>
    <col min="13827" max="13850" width="11.28515625" style="2" bestFit="1" customWidth="1"/>
    <col min="13851" max="14077" width="9.140625" style="2"/>
    <col min="14078" max="14078" width="66.140625" style="2" customWidth="1"/>
    <col min="14079" max="14081" width="9.140625" style="2"/>
    <col min="14082" max="14082" width="9.7109375" style="2" customWidth="1"/>
    <col min="14083" max="14106" width="11.28515625" style="2" bestFit="1" customWidth="1"/>
    <col min="14107" max="14333" width="9.140625" style="2"/>
    <col min="14334" max="14334" width="66.140625" style="2" customWidth="1"/>
    <col min="14335" max="14337" width="9.140625" style="2"/>
    <col min="14338" max="14338" width="9.7109375" style="2" customWidth="1"/>
    <col min="14339" max="14362" width="11.28515625" style="2" bestFit="1" customWidth="1"/>
    <col min="14363" max="14589" width="9.140625" style="2"/>
    <col min="14590" max="14590" width="66.140625" style="2" customWidth="1"/>
    <col min="14591" max="14593" width="9.140625" style="2"/>
    <col min="14594" max="14594" width="9.7109375" style="2" customWidth="1"/>
    <col min="14595" max="14618" width="11.28515625" style="2" bestFit="1" customWidth="1"/>
    <col min="14619" max="14845" width="9.140625" style="2"/>
    <col min="14846" max="14846" width="66.140625" style="2" customWidth="1"/>
    <col min="14847" max="14849" width="9.140625" style="2"/>
    <col min="14850" max="14850" width="9.7109375" style="2" customWidth="1"/>
    <col min="14851" max="14874" width="11.28515625" style="2" bestFit="1" customWidth="1"/>
    <col min="14875" max="15101" width="9.140625" style="2"/>
    <col min="15102" max="15102" width="66.140625" style="2" customWidth="1"/>
    <col min="15103" max="15105" width="9.140625" style="2"/>
    <col min="15106" max="15106" width="9.7109375" style="2" customWidth="1"/>
    <col min="15107" max="15130" width="11.28515625" style="2" bestFit="1" customWidth="1"/>
    <col min="15131" max="15357" width="9.140625" style="2"/>
    <col min="15358" max="15358" width="66.140625" style="2" customWidth="1"/>
    <col min="15359" max="15361" width="9.140625" style="2"/>
    <col min="15362" max="15362" width="9.7109375" style="2" customWidth="1"/>
    <col min="15363" max="15386" width="11.28515625" style="2" bestFit="1" customWidth="1"/>
    <col min="15387" max="15613" width="9.140625" style="2"/>
    <col min="15614" max="15614" width="66.140625" style="2" customWidth="1"/>
    <col min="15615" max="15617" width="9.140625" style="2"/>
    <col min="15618" max="15618" width="9.7109375" style="2" customWidth="1"/>
    <col min="15619" max="15642" width="11.28515625" style="2" bestFit="1" customWidth="1"/>
    <col min="15643" max="15869" width="9.140625" style="2"/>
    <col min="15870" max="15870" width="66.140625" style="2" customWidth="1"/>
    <col min="15871" max="15873" width="9.140625" style="2"/>
    <col min="15874" max="15874" width="9.7109375" style="2" customWidth="1"/>
    <col min="15875" max="15898" width="11.28515625" style="2" bestFit="1" customWidth="1"/>
    <col min="15899" max="16125" width="9.140625" style="2"/>
    <col min="16126" max="16126" width="66.140625" style="2" customWidth="1"/>
    <col min="16127" max="16129" width="9.140625" style="2"/>
    <col min="16130" max="16130" width="9.7109375" style="2" customWidth="1"/>
    <col min="16131" max="16154" width="11.28515625" style="2" bestFit="1" customWidth="1"/>
    <col min="16155" max="16384" width="9.140625" style="2"/>
  </cols>
  <sheetData>
    <row r="1" spans="1:30" ht="20.25" thickBot="1" x14ac:dyDescent="0.35">
      <c r="A1" s="20" t="s">
        <v>117</v>
      </c>
    </row>
    <row r="2" spans="1:30" ht="15.75" thickTop="1" x14ac:dyDescent="0.25">
      <c r="A2" s="21" t="s">
        <v>19</v>
      </c>
      <c r="B2" s="31" t="s">
        <v>102</v>
      </c>
      <c r="C2" s="1">
        <v>2007</v>
      </c>
      <c r="D2" s="1">
        <v>2008</v>
      </c>
      <c r="E2" s="1">
        <v>2009</v>
      </c>
      <c r="F2" s="1">
        <v>2010</v>
      </c>
      <c r="G2" s="1">
        <v>2011</v>
      </c>
      <c r="H2" s="1">
        <v>2012</v>
      </c>
      <c r="I2" s="1">
        <v>2013</v>
      </c>
      <c r="J2" s="1">
        <v>2014</v>
      </c>
      <c r="K2" s="1">
        <v>2015</v>
      </c>
      <c r="L2" s="1">
        <v>2016</v>
      </c>
      <c r="M2" s="1">
        <v>2017</v>
      </c>
      <c r="N2" s="1">
        <v>2018</v>
      </c>
      <c r="O2" s="1">
        <v>2019</v>
      </c>
      <c r="P2" s="1">
        <v>2020</v>
      </c>
      <c r="Q2" s="1">
        <v>2021</v>
      </c>
      <c r="R2" s="1">
        <v>2022</v>
      </c>
      <c r="S2" s="1">
        <v>2023</v>
      </c>
      <c r="T2" s="1">
        <v>2024</v>
      </c>
      <c r="U2" s="1">
        <v>2025</v>
      </c>
      <c r="V2" s="1">
        <v>2026</v>
      </c>
      <c r="W2" s="1">
        <v>2027</v>
      </c>
      <c r="X2" s="1">
        <v>2028</v>
      </c>
      <c r="Y2" s="1">
        <v>2029</v>
      </c>
      <c r="Z2" s="1">
        <v>2030</v>
      </c>
      <c r="AA2" s="1">
        <v>2031</v>
      </c>
      <c r="AB2" s="2">
        <v>2040</v>
      </c>
      <c r="AC2" s="2">
        <v>2050</v>
      </c>
      <c r="AD2" s="2">
        <v>2060</v>
      </c>
    </row>
    <row r="3" spans="1:30" ht="15" x14ac:dyDescent="0.25">
      <c r="A3" s="3" t="s">
        <v>0</v>
      </c>
      <c r="B3" s="31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0" ht="15" x14ac:dyDescent="0.25">
      <c r="A4" s="1" t="s">
        <v>38</v>
      </c>
      <c r="C4" s="24"/>
      <c r="D4" s="32">
        <f t="shared" ref="D4:U4" si="0">IF($B$3="AR 2008",D41,D43)</f>
        <v>9.310214851111942E-2</v>
      </c>
      <c r="E4" s="32">
        <f t="shared" si="0"/>
        <v>1.4827586206896504E-2</v>
      </c>
      <c r="F4" s="32">
        <f t="shared" si="0"/>
        <v>1.6649677200135882E-2</v>
      </c>
      <c r="G4" s="32">
        <f t="shared" si="0"/>
        <v>1.6711229946523964E-2</v>
      </c>
      <c r="H4" s="32">
        <f t="shared" si="0"/>
        <v>2.4654832347140054E-2</v>
      </c>
      <c r="I4" s="32">
        <f t="shared" si="0"/>
        <v>1.8607635547000401E-2</v>
      </c>
      <c r="J4" s="32">
        <f t="shared" si="0"/>
        <v>2.55118110236221E-2</v>
      </c>
      <c r="K4" s="32">
        <f t="shared" si="0"/>
        <v>2.9791154791154684E-2</v>
      </c>
      <c r="L4" s="32">
        <f t="shared" si="0"/>
        <v>3.2209961228750306E-2</v>
      </c>
      <c r="M4" s="32">
        <f t="shared" si="0"/>
        <v>3.120485408841378E-2</v>
      </c>
      <c r="N4" s="32">
        <f t="shared" si="0"/>
        <v>3.3342673017652036E-2</v>
      </c>
      <c r="O4" s="32">
        <f t="shared" si="0"/>
        <v>3.3622559652928485E-2</v>
      </c>
      <c r="P4" s="32">
        <f t="shared" si="0"/>
        <v>3.3578174186778664E-2</v>
      </c>
      <c r="Q4" s="32">
        <f t="shared" si="0"/>
        <v>3.2741116751269006E-2</v>
      </c>
      <c r="R4" s="32">
        <f t="shared" si="0"/>
        <v>3.2931924305726223E-2</v>
      </c>
      <c r="S4" s="32">
        <f t="shared" si="0"/>
        <v>3.2833690221270473E-2</v>
      </c>
      <c r="T4" s="32">
        <f t="shared" si="0"/>
        <v>3.3172080165860374E-2</v>
      </c>
      <c r="U4" s="32">
        <f t="shared" si="0"/>
        <v>3.2107023411371172E-2</v>
      </c>
      <c r="V4" s="32">
        <f>U4</f>
        <v>3.2107023411371172E-2</v>
      </c>
      <c r="W4" s="32">
        <f t="shared" ref="W4:Z4" si="1">V4</f>
        <v>3.2107023411371172E-2</v>
      </c>
      <c r="X4" s="32">
        <f t="shared" si="1"/>
        <v>3.2107023411371172E-2</v>
      </c>
      <c r="Y4" s="32">
        <f t="shared" si="1"/>
        <v>3.2107023411371172E-2</v>
      </c>
      <c r="Z4" s="32">
        <f t="shared" si="1"/>
        <v>3.2107023411371172E-2</v>
      </c>
      <c r="AA4" s="4">
        <f>AB4</f>
        <v>3.0931163439462395E-2</v>
      </c>
      <c r="AB4" s="18">
        <f>SUMIF(PoolPlan_EnergyProj!$Q$1:$AB$1,B2,PoolPlan_EnergyProj!$Q$29:$AB$29)</f>
        <v>3.0931163439462395E-2</v>
      </c>
      <c r="AC4" s="18">
        <f>SUMIF(PoolPlan_EnergyProj!$Q$1:$AB$1,B2,PoolPlan_EnergyProj!$Q$30:$AB$30)</f>
        <v>3.0941414715408067E-2</v>
      </c>
      <c r="AD4" s="86">
        <v>0</v>
      </c>
    </row>
    <row r="5" spans="1:30" ht="15" x14ac:dyDescent="0.25">
      <c r="A5" s="1" t="s">
        <v>115</v>
      </c>
      <c r="B5" s="5" t="s">
        <v>1</v>
      </c>
      <c r="C5" s="23">
        <f>C42*(1-C7)*(1-C10)</f>
        <v>2255.0499999999997</v>
      </c>
      <c r="D5" s="7">
        <f t="shared" ref="D5:AA5" si="2">C5*(1+D4)</f>
        <v>2464.9999999999995</v>
      </c>
      <c r="E5" s="7">
        <f t="shared" si="2"/>
        <v>2501.5499999999993</v>
      </c>
      <c r="F5" s="7">
        <f t="shared" si="2"/>
        <v>2543.1999999999994</v>
      </c>
      <c r="G5" s="7">
        <f t="shared" si="2"/>
        <v>2585.6999999999989</v>
      </c>
      <c r="H5" s="7">
        <f t="shared" si="2"/>
        <v>2649.4499999999989</v>
      </c>
      <c r="I5" s="7">
        <f t="shared" si="2"/>
        <v>2698.7499999999991</v>
      </c>
      <c r="J5" s="7">
        <f t="shared" si="2"/>
        <v>2767.599999999999</v>
      </c>
      <c r="K5" s="7">
        <f t="shared" si="2"/>
        <v>2850.0499999999988</v>
      </c>
      <c r="L5" s="7">
        <f t="shared" si="2"/>
        <v>2941.8499999999985</v>
      </c>
      <c r="M5" s="7">
        <f t="shared" si="2"/>
        <v>3033.6499999999987</v>
      </c>
      <c r="N5" s="7">
        <f t="shared" si="2"/>
        <v>3134.7999999999988</v>
      </c>
      <c r="O5" s="7">
        <f t="shared" si="2"/>
        <v>3240.1999999999989</v>
      </c>
      <c r="P5" s="7">
        <f t="shared" si="2"/>
        <v>3348.9999999999991</v>
      </c>
      <c r="Q5" s="7">
        <f t="shared" si="2"/>
        <v>3458.6499999999992</v>
      </c>
      <c r="R5" s="7">
        <f t="shared" si="2"/>
        <v>3572.5499999999993</v>
      </c>
      <c r="S5" s="7">
        <f t="shared" si="2"/>
        <v>3689.849999999999</v>
      </c>
      <c r="T5" s="7">
        <f t="shared" si="2"/>
        <v>3812.2499999999991</v>
      </c>
      <c r="U5" s="7">
        <f t="shared" si="2"/>
        <v>3934.6499999999987</v>
      </c>
      <c r="V5" s="7">
        <f t="shared" si="2"/>
        <v>4060.9798996655504</v>
      </c>
      <c r="W5" s="7">
        <f t="shared" si="2"/>
        <v>4191.36587637722</v>
      </c>
      <c r="X5" s="7">
        <f t="shared" si="2"/>
        <v>4325.9381586956861</v>
      </c>
      <c r="Y5" s="7">
        <f t="shared" si="2"/>
        <v>4464.8311564330725</v>
      </c>
      <c r="Z5" s="7">
        <f t="shared" si="2"/>
        <v>4608.183594900489</v>
      </c>
      <c r="AA5" s="7">
        <f t="shared" si="2"/>
        <v>4750.7200748334053</v>
      </c>
      <c r="AB5" s="7">
        <f>AA5*(1+AB4)^9</f>
        <v>6249.2291828658354</v>
      </c>
      <c r="AC5" s="7">
        <f>AB5*(1+AC4)^10</f>
        <v>8475.5192694405723</v>
      </c>
      <c r="AD5" s="7">
        <f>AC5*(1+AD4)^10</f>
        <v>8475.5192694405723</v>
      </c>
    </row>
    <row r="6" spans="1:30" ht="15" x14ac:dyDescent="0.25">
      <c r="A6" s="3" t="s">
        <v>2</v>
      </c>
      <c r="B6" s="5"/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30" ht="15" x14ac:dyDescent="0.25">
      <c r="A7" s="1" t="s">
        <v>3</v>
      </c>
      <c r="C7" s="71">
        <v>0</v>
      </c>
      <c r="D7" s="33">
        <f t="shared" ref="D7:Y7" si="3">C7</f>
        <v>0</v>
      </c>
      <c r="E7" s="33">
        <f t="shared" si="3"/>
        <v>0</v>
      </c>
      <c r="F7" s="33">
        <f t="shared" si="3"/>
        <v>0</v>
      </c>
      <c r="G7" s="33">
        <f t="shared" si="3"/>
        <v>0</v>
      </c>
      <c r="H7" s="33">
        <f t="shared" si="3"/>
        <v>0</v>
      </c>
      <c r="I7" s="33">
        <f t="shared" si="3"/>
        <v>0</v>
      </c>
      <c r="J7" s="33">
        <f t="shared" si="3"/>
        <v>0</v>
      </c>
      <c r="K7" s="33">
        <f t="shared" si="3"/>
        <v>0</v>
      </c>
      <c r="L7" s="33">
        <f t="shared" si="3"/>
        <v>0</v>
      </c>
      <c r="M7" s="33">
        <f t="shared" si="3"/>
        <v>0</v>
      </c>
      <c r="N7" s="33">
        <f t="shared" si="3"/>
        <v>0</v>
      </c>
      <c r="O7" s="33">
        <f t="shared" si="3"/>
        <v>0</v>
      </c>
      <c r="P7" s="33">
        <f t="shared" si="3"/>
        <v>0</v>
      </c>
      <c r="Q7" s="33">
        <f t="shared" si="3"/>
        <v>0</v>
      </c>
      <c r="R7" s="33">
        <f t="shared" si="3"/>
        <v>0</v>
      </c>
      <c r="S7" s="33">
        <f t="shared" si="3"/>
        <v>0</v>
      </c>
      <c r="T7" s="33">
        <f t="shared" si="3"/>
        <v>0</v>
      </c>
      <c r="U7" s="33">
        <f t="shared" si="3"/>
        <v>0</v>
      </c>
      <c r="V7" s="33">
        <f t="shared" si="3"/>
        <v>0</v>
      </c>
      <c r="W7" s="33">
        <f t="shared" si="3"/>
        <v>0</v>
      </c>
      <c r="X7" s="33">
        <f t="shared" si="3"/>
        <v>0</v>
      </c>
      <c r="Y7" s="33">
        <f t="shared" si="3"/>
        <v>0</v>
      </c>
      <c r="Z7" s="33">
        <f>Y7</f>
        <v>0</v>
      </c>
      <c r="AA7" s="33">
        <f t="shared" ref="AA7:AC7" si="4">Z7</f>
        <v>0</v>
      </c>
      <c r="AB7" s="33">
        <f t="shared" si="4"/>
        <v>0</v>
      </c>
      <c r="AC7" s="33">
        <f t="shared" si="4"/>
        <v>0</v>
      </c>
    </row>
    <row r="8" spans="1:30" ht="15" x14ac:dyDescent="0.25">
      <c r="A8" s="1" t="s">
        <v>96</v>
      </c>
      <c r="B8" s="5" t="s">
        <v>1</v>
      </c>
      <c r="C8" s="8">
        <f t="shared" ref="C8:AC8" si="5">C5/(1-C7)</f>
        <v>2255.0499999999997</v>
      </c>
      <c r="D8" s="8">
        <f t="shared" si="5"/>
        <v>2464.9999999999995</v>
      </c>
      <c r="E8" s="8">
        <f t="shared" si="5"/>
        <v>2501.5499999999993</v>
      </c>
      <c r="F8" s="8">
        <f t="shared" si="5"/>
        <v>2543.1999999999994</v>
      </c>
      <c r="G8" s="8">
        <f t="shared" si="5"/>
        <v>2585.6999999999989</v>
      </c>
      <c r="H8" s="8">
        <f t="shared" si="5"/>
        <v>2649.4499999999989</v>
      </c>
      <c r="I8" s="8">
        <f t="shared" si="5"/>
        <v>2698.7499999999991</v>
      </c>
      <c r="J8" s="8">
        <f t="shared" si="5"/>
        <v>2767.599999999999</v>
      </c>
      <c r="K8" s="8">
        <f t="shared" si="5"/>
        <v>2850.0499999999988</v>
      </c>
      <c r="L8" s="8">
        <f t="shared" si="5"/>
        <v>2941.8499999999985</v>
      </c>
      <c r="M8" s="8">
        <f t="shared" si="5"/>
        <v>3033.6499999999987</v>
      </c>
      <c r="N8" s="8">
        <f t="shared" si="5"/>
        <v>3134.7999999999988</v>
      </c>
      <c r="O8" s="8">
        <f t="shared" si="5"/>
        <v>3240.1999999999989</v>
      </c>
      <c r="P8" s="8">
        <f t="shared" si="5"/>
        <v>3348.9999999999991</v>
      </c>
      <c r="Q8" s="8">
        <f t="shared" si="5"/>
        <v>3458.6499999999992</v>
      </c>
      <c r="R8" s="8">
        <f t="shared" si="5"/>
        <v>3572.5499999999993</v>
      </c>
      <c r="S8" s="8">
        <f t="shared" si="5"/>
        <v>3689.849999999999</v>
      </c>
      <c r="T8" s="8">
        <f t="shared" si="5"/>
        <v>3812.2499999999991</v>
      </c>
      <c r="U8" s="8">
        <f t="shared" si="5"/>
        <v>3934.6499999999987</v>
      </c>
      <c r="V8" s="8">
        <f t="shared" si="5"/>
        <v>4060.9798996655504</v>
      </c>
      <c r="W8" s="8">
        <f t="shared" si="5"/>
        <v>4191.36587637722</v>
      </c>
      <c r="X8" s="8">
        <f t="shared" si="5"/>
        <v>4325.9381586956861</v>
      </c>
      <c r="Y8" s="8">
        <f t="shared" si="5"/>
        <v>4464.8311564330725</v>
      </c>
      <c r="Z8" s="8">
        <f t="shared" si="5"/>
        <v>4608.183594900489</v>
      </c>
      <c r="AA8" s="8">
        <f t="shared" si="5"/>
        <v>4750.7200748334053</v>
      </c>
      <c r="AB8" s="8">
        <f t="shared" si="5"/>
        <v>6249.2291828658354</v>
      </c>
      <c r="AC8" s="8">
        <f t="shared" si="5"/>
        <v>8475.5192694405723</v>
      </c>
    </row>
    <row r="9" spans="1:30" ht="15" x14ac:dyDescent="0.25">
      <c r="A9" s="3" t="s">
        <v>4</v>
      </c>
      <c r="B9" s="5"/>
      <c r="C9" s="11"/>
      <c r="D9" s="11"/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30" ht="15" x14ac:dyDescent="0.25">
      <c r="A10" s="1" t="s">
        <v>5</v>
      </c>
      <c r="C10" s="26">
        <v>0.15</v>
      </c>
      <c r="D10" s="32">
        <f>C10</f>
        <v>0.15</v>
      </c>
      <c r="E10" s="32">
        <f t="shared" ref="E10:AC10" si="6">D10</f>
        <v>0.15</v>
      </c>
      <c r="F10" s="32">
        <f t="shared" si="6"/>
        <v>0.15</v>
      </c>
      <c r="G10" s="32">
        <f t="shared" si="6"/>
        <v>0.15</v>
      </c>
      <c r="H10" s="32">
        <f t="shared" si="6"/>
        <v>0.15</v>
      </c>
      <c r="I10" s="32">
        <f t="shared" si="6"/>
        <v>0.15</v>
      </c>
      <c r="J10" s="32">
        <f t="shared" si="6"/>
        <v>0.15</v>
      </c>
      <c r="K10" s="32">
        <f t="shared" si="6"/>
        <v>0.15</v>
      </c>
      <c r="L10" s="32">
        <f t="shared" si="6"/>
        <v>0.15</v>
      </c>
      <c r="M10" s="32">
        <f t="shared" si="6"/>
        <v>0.15</v>
      </c>
      <c r="N10" s="32">
        <f t="shared" si="6"/>
        <v>0.15</v>
      </c>
      <c r="O10" s="32">
        <f t="shared" si="6"/>
        <v>0.15</v>
      </c>
      <c r="P10" s="32">
        <f t="shared" si="6"/>
        <v>0.15</v>
      </c>
      <c r="Q10" s="32">
        <f t="shared" si="6"/>
        <v>0.15</v>
      </c>
      <c r="R10" s="32">
        <f t="shared" si="6"/>
        <v>0.15</v>
      </c>
      <c r="S10" s="32">
        <f t="shared" si="6"/>
        <v>0.15</v>
      </c>
      <c r="T10" s="32">
        <f t="shared" si="6"/>
        <v>0.15</v>
      </c>
      <c r="U10" s="32">
        <f t="shared" si="6"/>
        <v>0.15</v>
      </c>
      <c r="V10" s="32">
        <f t="shared" si="6"/>
        <v>0.15</v>
      </c>
      <c r="W10" s="32">
        <f t="shared" si="6"/>
        <v>0.15</v>
      </c>
      <c r="X10" s="32">
        <f t="shared" si="6"/>
        <v>0.15</v>
      </c>
      <c r="Y10" s="32">
        <f t="shared" si="6"/>
        <v>0.15</v>
      </c>
      <c r="Z10" s="32">
        <f t="shared" si="6"/>
        <v>0.15</v>
      </c>
      <c r="AA10" s="32">
        <f t="shared" si="6"/>
        <v>0.15</v>
      </c>
      <c r="AB10" s="32">
        <f t="shared" si="6"/>
        <v>0.15</v>
      </c>
      <c r="AC10" s="32">
        <f t="shared" si="6"/>
        <v>0.15</v>
      </c>
    </row>
    <row r="11" spans="1:30" ht="15" x14ac:dyDescent="0.25">
      <c r="A11" s="1" t="s">
        <v>95</v>
      </c>
      <c r="B11" s="5" t="s">
        <v>1</v>
      </c>
      <c r="C11" s="8">
        <f t="shared" ref="C11:AC11" si="7">C8/(1-C10)</f>
        <v>2652.9999999999995</v>
      </c>
      <c r="D11" s="8">
        <f t="shared" si="7"/>
        <v>2899.9999999999995</v>
      </c>
      <c r="E11" s="8">
        <f t="shared" si="7"/>
        <v>2942.9999999999991</v>
      </c>
      <c r="F11" s="8">
        <f t="shared" si="7"/>
        <v>2991.9999999999995</v>
      </c>
      <c r="G11" s="8">
        <f t="shared" si="7"/>
        <v>3041.9999999999986</v>
      </c>
      <c r="H11" s="8">
        <f t="shared" si="7"/>
        <v>3116.9999999999986</v>
      </c>
      <c r="I11" s="8">
        <f t="shared" si="7"/>
        <v>3174.9999999999991</v>
      </c>
      <c r="J11" s="8">
        <f t="shared" si="7"/>
        <v>3255.9999999999991</v>
      </c>
      <c r="K11" s="8">
        <f t="shared" si="7"/>
        <v>3352.9999999999986</v>
      </c>
      <c r="L11" s="8">
        <f t="shared" si="7"/>
        <v>3460.9999999999982</v>
      </c>
      <c r="M11" s="8">
        <f t="shared" si="7"/>
        <v>3568.9999999999986</v>
      </c>
      <c r="N11" s="8">
        <f t="shared" si="7"/>
        <v>3687.9999999999986</v>
      </c>
      <c r="O11" s="8">
        <f t="shared" si="7"/>
        <v>3811.9999999999986</v>
      </c>
      <c r="P11" s="8">
        <f t="shared" si="7"/>
        <v>3939.9999999999991</v>
      </c>
      <c r="Q11" s="8">
        <f t="shared" si="7"/>
        <v>4068.9999999999991</v>
      </c>
      <c r="R11" s="8">
        <f t="shared" si="7"/>
        <v>4202.9999999999991</v>
      </c>
      <c r="S11" s="8">
        <f t="shared" si="7"/>
        <v>4340.9999999999991</v>
      </c>
      <c r="T11" s="8">
        <f t="shared" si="7"/>
        <v>4484.9999999999991</v>
      </c>
      <c r="U11" s="8">
        <f t="shared" si="7"/>
        <v>4628.9999999999982</v>
      </c>
      <c r="V11" s="8">
        <f t="shared" si="7"/>
        <v>4777.6234113712362</v>
      </c>
      <c r="W11" s="8">
        <f t="shared" si="7"/>
        <v>4931.0186780908471</v>
      </c>
      <c r="X11" s="8">
        <f t="shared" si="7"/>
        <v>5089.3390102302192</v>
      </c>
      <c r="Y11" s="8">
        <f t="shared" si="7"/>
        <v>5252.7425369800858</v>
      </c>
      <c r="Z11" s="8">
        <f t="shared" si="7"/>
        <v>5421.392464588811</v>
      </c>
      <c r="AA11" s="8">
        <f t="shared" si="7"/>
        <v>5589.0824409804773</v>
      </c>
      <c r="AB11" s="8">
        <f t="shared" si="7"/>
        <v>7352.0343327833361</v>
      </c>
      <c r="AC11" s="8">
        <f t="shared" si="7"/>
        <v>9971.1991405183198</v>
      </c>
    </row>
    <row r="12" spans="1:30" x14ac:dyDescent="0.2">
      <c r="A12" s="3" t="s">
        <v>6</v>
      </c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30" ht="15" x14ac:dyDescent="0.25">
      <c r="A13" s="5" t="s">
        <v>108</v>
      </c>
      <c r="B13" s="5"/>
      <c r="C13" s="6">
        <f>VLOOKUP($A$2,AR2008_Stats!$B$4:$O$15,AR2008_Stats!L$1,FALSE)</f>
        <v>0</v>
      </c>
      <c r="D13" s="64">
        <f>C13</f>
        <v>0</v>
      </c>
      <c r="E13" s="64">
        <f t="shared" ref="E13:T15" si="8">D13</f>
        <v>0</v>
      </c>
      <c r="F13" s="64">
        <f t="shared" si="8"/>
        <v>0</v>
      </c>
      <c r="G13" s="64">
        <f t="shared" si="8"/>
        <v>0</v>
      </c>
      <c r="H13" s="64">
        <f t="shared" si="8"/>
        <v>0</v>
      </c>
      <c r="I13" s="64">
        <f t="shared" si="8"/>
        <v>0</v>
      </c>
      <c r="J13" s="64">
        <f t="shared" si="8"/>
        <v>0</v>
      </c>
      <c r="K13" s="64">
        <f t="shared" si="8"/>
        <v>0</v>
      </c>
      <c r="L13" s="64">
        <f t="shared" si="8"/>
        <v>0</v>
      </c>
      <c r="M13" s="64">
        <f t="shared" si="8"/>
        <v>0</v>
      </c>
      <c r="N13" s="64">
        <f t="shared" si="8"/>
        <v>0</v>
      </c>
      <c r="O13" s="64">
        <f t="shared" si="8"/>
        <v>0</v>
      </c>
      <c r="P13" s="64">
        <f t="shared" si="8"/>
        <v>0</v>
      </c>
      <c r="Q13" s="64">
        <f t="shared" si="8"/>
        <v>0</v>
      </c>
      <c r="R13" s="64">
        <f t="shared" si="8"/>
        <v>0</v>
      </c>
      <c r="S13" s="64">
        <f t="shared" si="8"/>
        <v>0</v>
      </c>
      <c r="T13" s="64">
        <f t="shared" si="8"/>
        <v>0</v>
      </c>
      <c r="U13" s="64">
        <f t="shared" ref="U13:AA15" si="9">T13</f>
        <v>0</v>
      </c>
      <c r="V13" s="64">
        <f t="shared" si="9"/>
        <v>0</v>
      </c>
      <c r="W13" s="64">
        <f t="shared" si="9"/>
        <v>0</v>
      </c>
      <c r="X13" s="64">
        <f t="shared" si="9"/>
        <v>0</v>
      </c>
      <c r="Y13" s="64">
        <f t="shared" si="9"/>
        <v>0</v>
      </c>
      <c r="Z13" s="64">
        <f t="shared" si="9"/>
        <v>0</v>
      </c>
      <c r="AA13" s="64">
        <f t="shared" si="9"/>
        <v>0</v>
      </c>
    </row>
    <row r="14" spans="1:30" ht="15" x14ac:dyDescent="0.25">
      <c r="A14" s="5" t="s">
        <v>109</v>
      </c>
      <c r="B14" s="5"/>
      <c r="C14" s="6">
        <v>0</v>
      </c>
      <c r="D14" s="64">
        <f>C14</f>
        <v>0</v>
      </c>
      <c r="E14" s="64">
        <f t="shared" si="8"/>
        <v>0</v>
      </c>
      <c r="F14" s="64">
        <f t="shared" si="8"/>
        <v>0</v>
      </c>
      <c r="G14" s="64">
        <f t="shared" si="8"/>
        <v>0</v>
      </c>
      <c r="H14" s="64">
        <f t="shared" si="8"/>
        <v>0</v>
      </c>
      <c r="I14" s="64">
        <f t="shared" si="8"/>
        <v>0</v>
      </c>
      <c r="J14" s="64">
        <f t="shared" si="8"/>
        <v>0</v>
      </c>
      <c r="K14" s="64">
        <f t="shared" si="8"/>
        <v>0</v>
      </c>
      <c r="L14" s="64">
        <f t="shared" si="8"/>
        <v>0</v>
      </c>
      <c r="M14" s="64">
        <f t="shared" si="8"/>
        <v>0</v>
      </c>
      <c r="N14" s="64">
        <f t="shared" si="8"/>
        <v>0</v>
      </c>
      <c r="O14" s="64">
        <f t="shared" si="8"/>
        <v>0</v>
      </c>
      <c r="P14" s="64">
        <f t="shared" si="8"/>
        <v>0</v>
      </c>
      <c r="Q14" s="64">
        <f t="shared" si="8"/>
        <v>0</v>
      </c>
      <c r="R14" s="64">
        <f t="shared" si="8"/>
        <v>0</v>
      </c>
      <c r="S14" s="64">
        <f t="shared" si="8"/>
        <v>0</v>
      </c>
      <c r="T14" s="64">
        <f t="shared" si="8"/>
        <v>0</v>
      </c>
      <c r="U14" s="64">
        <f t="shared" si="9"/>
        <v>0</v>
      </c>
      <c r="V14" s="64">
        <f t="shared" si="9"/>
        <v>0</v>
      </c>
      <c r="W14" s="64">
        <f t="shared" si="9"/>
        <v>0</v>
      </c>
      <c r="X14" s="64">
        <f t="shared" si="9"/>
        <v>0</v>
      </c>
      <c r="Y14" s="64">
        <f t="shared" si="9"/>
        <v>0</v>
      </c>
      <c r="Z14" s="64">
        <f t="shared" si="9"/>
        <v>0</v>
      </c>
      <c r="AA14" s="64">
        <f t="shared" si="9"/>
        <v>0</v>
      </c>
    </row>
    <row r="15" spans="1:30" ht="15" x14ac:dyDescent="0.25">
      <c r="A15" s="5" t="s">
        <v>110</v>
      </c>
      <c r="B15" s="5"/>
      <c r="C15" s="6">
        <v>0</v>
      </c>
      <c r="D15" s="64">
        <f>C15</f>
        <v>0</v>
      </c>
      <c r="E15" s="64">
        <f t="shared" si="8"/>
        <v>0</v>
      </c>
      <c r="F15" s="64">
        <f t="shared" si="8"/>
        <v>0</v>
      </c>
      <c r="G15" s="64">
        <f t="shared" si="8"/>
        <v>0</v>
      </c>
      <c r="H15" s="64">
        <f t="shared" si="8"/>
        <v>0</v>
      </c>
      <c r="I15" s="64">
        <f t="shared" si="8"/>
        <v>0</v>
      </c>
      <c r="J15" s="64">
        <f t="shared" si="8"/>
        <v>0</v>
      </c>
      <c r="K15" s="64">
        <f t="shared" si="8"/>
        <v>0</v>
      </c>
      <c r="L15" s="64">
        <f t="shared" si="8"/>
        <v>0</v>
      </c>
      <c r="M15" s="64">
        <f t="shared" si="8"/>
        <v>0</v>
      </c>
      <c r="N15" s="64">
        <f t="shared" si="8"/>
        <v>0</v>
      </c>
      <c r="O15" s="64">
        <f t="shared" si="8"/>
        <v>0</v>
      </c>
      <c r="P15" s="64">
        <f t="shared" si="8"/>
        <v>0</v>
      </c>
      <c r="Q15" s="64">
        <f t="shared" si="8"/>
        <v>0</v>
      </c>
      <c r="R15" s="64">
        <f t="shared" si="8"/>
        <v>0</v>
      </c>
      <c r="S15" s="64">
        <f t="shared" si="8"/>
        <v>0</v>
      </c>
      <c r="T15" s="64">
        <f t="shared" si="8"/>
        <v>0</v>
      </c>
      <c r="U15" s="64">
        <f t="shared" si="9"/>
        <v>0</v>
      </c>
      <c r="V15" s="64">
        <f t="shared" si="9"/>
        <v>0</v>
      </c>
      <c r="W15" s="64">
        <f t="shared" si="9"/>
        <v>0</v>
      </c>
      <c r="X15" s="64">
        <f t="shared" si="9"/>
        <v>0</v>
      </c>
      <c r="Y15" s="64">
        <f t="shared" si="9"/>
        <v>0</v>
      </c>
      <c r="Z15" s="64">
        <f t="shared" si="9"/>
        <v>0</v>
      </c>
      <c r="AA15" s="64">
        <f t="shared" si="9"/>
        <v>0</v>
      </c>
    </row>
    <row r="16" spans="1:30" ht="15" x14ac:dyDescent="0.25">
      <c r="A16" s="5" t="s">
        <v>112</v>
      </c>
      <c r="B16" s="5"/>
      <c r="C16" s="6">
        <v>0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</row>
    <row r="17" spans="1:27" ht="15" x14ac:dyDescent="0.25">
      <c r="A17" s="5" t="s">
        <v>113</v>
      </c>
      <c r="B17" s="5"/>
      <c r="C17" s="6">
        <v>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</row>
    <row r="18" spans="1:27" ht="15" x14ac:dyDescent="0.25">
      <c r="A18" s="1" t="s">
        <v>111</v>
      </c>
      <c r="B18" s="5"/>
      <c r="C18" s="65">
        <f>SUM(C13:C17)</f>
        <v>0</v>
      </c>
      <c r="D18" s="65">
        <f t="shared" ref="D18:AA18" si="10">SUM(D13:D17)</f>
        <v>0</v>
      </c>
      <c r="E18" s="65">
        <f t="shared" si="10"/>
        <v>0</v>
      </c>
      <c r="F18" s="65">
        <f t="shared" si="10"/>
        <v>0</v>
      </c>
      <c r="G18" s="65">
        <f t="shared" si="10"/>
        <v>0</v>
      </c>
      <c r="H18" s="65">
        <f t="shared" si="10"/>
        <v>0</v>
      </c>
      <c r="I18" s="65">
        <f t="shared" si="10"/>
        <v>0</v>
      </c>
      <c r="J18" s="65">
        <f t="shared" si="10"/>
        <v>0</v>
      </c>
      <c r="K18" s="65">
        <f t="shared" si="10"/>
        <v>0</v>
      </c>
      <c r="L18" s="65">
        <f t="shared" si="10"/>
        <v>0</v>
      </c>
      <c r="M18" s="65">
        <f t="shared" si="10"/>
        <v>0</v>
      </c>
      <c r="N18" s="65">
        <f t="shared" si="10"/>
        <v>0</v>
      </c>
      <c r="O18" s="65">
        <f t="shared" si="10"/>
        <v>0</v>
      </c>
      <c r="P18" s="65">
        <f t="shared" si="10"/>
        <v>0</v>
      </c>
      <c r="Q18" s="65">
        <f t="shared" si="10"/>
        <v>0</v>
      </c>
      <c r="R18" s="65">
        <f t="shared" si="10"/>
        <v>0</v>
      </c>
      <c r="S18" s="65">
        <f t="shared" si="10"/>
        <v>0</v>
      </c>
      <c r="T18" s="65">
        <f t="shared" si="10"/>
        <v>0</v>
      </c>
      <c r="U18" s="65">
        <f t="shared" si="10"/>
        <v>0</v>
      </c>
      <c r="V18" s="65">
        <f t="shared" si="10"/>
        <v>0</v>
      </c>
      <c r="W18" s="65">
        <f t="shared" si="10"/>
        <v>0</v>
      </c>
      <c r="X18" s="65">
        <f t="shared" si="10"/>
        <v>0</v>
      </c>
      <c r="Y18" s="65">
        <f t="shared" si="10"/>
        <v>0</v>
      </c>
      <c r="Z18" s="65">
        <f t="shared" si="10"/>
        <v>0</v>
      </c>
      <c r="AA18" s="65">
        <f t="shared" si="10"/>
        <v>0</v>
      </c>
    </row>
    <row r="19" spans="1:27" ht="15" x14ac:dyDescent="0.25">
      <c r="A19" s="66" t="s">
        <v>116</v>
      </c>
      <c r="B19" s="66" t="s">
        <v>1</v>
      </c>
      <c r="C19" s="67">
        <f t="shared" ref="C19:AA19" si="11">C18+C11</f>
        <v>2652.9999999999995</v>
      </c>
      <c r="D19" s="67">
        <f t="shared" si="11"/>
        <v>2899.9999999999995</v>
      </c>
      <c r="E19" s="67">
        <f t="shared" si="11"/>
        <v>2942.9999999999991</v>
      </c>
      <c r="F19" s="67">
        <f t="shared" si="11"/>
        <v>2991.9999999999995</v>
      </c>
      <c r="G19" s="67">
        <f t="shared" si="11"/>
        <v>3041.9999999999986</v>
      </c>
      <c r="H19" s="67">
        <f t="shared" si="11"/>
        <v>3116.9999999999986</v>
      </c>
      <c r="I19" s="67">
        <f t="shared" si="11"/>
        <v>3174.9999999999991</v>
      </c>
      <c r="J19" s="67">
        <f t="shared" si="11"/>
        <v>3255.9999999999991</v>
      </c>
      <c r="K19" s="67">
        <f t="shared" si="11"/>
        <v>3352.9999999999986</v>
      </c>
      <c r="L19" s="67">
        <f t="shared" si="11"/>
        <v>3460.9999999999982</v>
      </c>
      <c r="M19" s="67">
        <f t="shared" si="11"/>
        <v>3568.9999999999986</v>
      </c>
      <c r="N19" s="67">
        <f t="shared" si="11"/>
        <v>3687.9999999999986</v>
      </c>
      <c r="O19" s="67">
        <f t="shared" si="11"/>
        <v>3811.9999999999986</v>
      </c>
      <c r="P19" s="67">
        <f t="shared" si="11"/>
        <v>3939.9999999999991</v>
      </c>
      <c r="Q19" s="67">
        <f t="shared" si="11"/>
        <v>4068.9999999999991</v>
      </c>
      <c r="R19" s="67">
        <f t="shared" si="11"/>
        <v>4202.9999999999991</v>
      </c>
      <c r="S19" s="67">
        <f t="shared" si="11"/>
        <v>4340.9999999999991</v>
      </c>
      <c r="T19" s="67">
        <f t="shared" si="11"/>
        <v>4484.9999999999991</v>
      </c>
      <c r="U19" s="67">
        <f t="shared" si="11"/>
        <v>4628.9999999999982</v>
      </c>
      <c r="V19" s="67">
        <f t="shared" si="11"/>
        <v>4777.6234113712362</v>
      </c>
      <c r="W19" s="67">
        <f t="shared" si="11"/>
        <v>4931.0186780908471</v>
      </c>
      <c r="X19" s="67">
        <f t="shared" si="11"/>
        <v>5089.3390102302192</v>
      </c>
      <c r="Y19" s="67">
        <f t="shared" si="11"/>
        <v>5252.7425369800858</v>
      </c>
      <c r="Z19" s="67">
        <f t="shared" si="11"/>
        <v>5421.392464588811</v>
      </c>
      <c r="AA19" s="67">
        <f t="shared" si="11"/>
        <v>5589.0824409804773</v>
      </c>
    </row>
    <row r="20" spans="1:27" ht="15" x14ac:dyDescent="0.25">
      <c r="A20" s="3" t="s">
        <v>120</v>
      </c>
      <c r="B20" s="5" t="s">
        <v>1</v>
      </c>
      <c r="C20" s="6">
        <f>VLOOKUP($A$2,AR2008_Stats!$B$4:$O$15,AR2008_Stats!K$1,FALSE)</f>
        <v>2045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 x14ac:dyDescent="0.25">
      <c r="A21" s="3" t="s">
        <v>121</v>
      </c>
      <c r="B21" s="5" t="s">
        <v>1</v>
      </c>
      <c r="C21" s="6">
        <f>VLOOKUP($A$2,AR2008_Stats!$B$4:$O$15,AR2008_Stats!J$1,FALSE)</f>
        <v>1576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7" ht="15" x14ac:dyDescent="0.25">
      <c r="A22" s="66" t="s">
        <v>119</v>
      </c>
      <c r="B22" s="66" t="s">
        <v>1</v>
      </c>
      <c r="C22" s="67">
        <f>C21+C20</f>
        <v>3621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7" x14ac:dyDescent="0.2">
      <c r="A23" s="3" t="s">
        <v>88</v>
      </c>
    </row>
    <row r="24" spans="1:27" ht="15" x14ac:dyDescent="0.25">
      <c r="A24" s="1" t="s">
        <v>76</v>
      </c>
      <c r="B24" s="5" t="s">
        <v>1</v>
      </c>
      <c r="C24" s="74">
        <f>VLOOKUP($A$2,'[1]Total Existing Capacity'!$A$3:$J$14,9,FALSE)</f>
        <v>2521.7056629792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7" x14ac:dyDescent="0.2">
      <c r="A25" s="1" t="s">
        <v>89</v>
      </c>
      <c r="B25" s="5"/>
      <c r="C25" s="30">
        <f>(C20+C24)/C11-1</f>
        <v>0.72133647304153836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7" x14ac:dyDescent="0.2">
      <c r="A26" s="1" t="s">
        <v>90</v>
      </c>
      <c r="B26" s="5"/>
      <c r="C26" s="30">
        <f>(C20+C24-C13)/C11-1</f>
        <v>0.72133647304153836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7" x14ac:dyDescent="0.2">
      <c r="A27" s="1" t="s">
        <v>91</v>
      </c>
      <c r="B27" s="5"/>
      <c r="C27" s="30">
        <f>C24/C11-1</f>
        <v>-4.9489007546475561E-2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7" x14ac:dyDescent="0.2">
      <c r="A28" s="1" t="s">
        <v>92</v>
      </c>
      <c r="B28" s="5"/>
      <c r="C28" s="30">
        <f>(C24-C13)/C11-1</f>
        <v>-4.9489007546475561E-2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7" ht="15" x14ac:dyDescent="0.25">
      <c r="A29" s="1" t="s">
        <v>77</v>
      </c>
      <c r="B29" s="5" t="s">
        <v>1</v>
      </c>
      <c r="C29" s="74">
        <f>VLOOKUP($A$2,'[1]Total Existing Capacity'!$A$3:$J$14,10,FALSE)</f>
        <v>2047.7056629792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7" x14ac:dyDescent="0.2">
      <c r="A30" s="1" t="s">
        <v>93</v>
      </c>
      <c r="B30" s="5"/>
      <c r="C30" s="30">
        <f>C29/C11-1</f>
        <v>-0.22815466906174131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7" x14ac:dyDescent="0.2">
      <c r="A31" s="1" t="s">
        <v>94</v>
      </c>
      <c r="B31" s="5"/>
      <c r="C31" s="30">
        <f>(C29-C13)/C11-1</f>
        <v>-0.22815466906174131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7" ht="15" x14ac:dyDescent="0.25">
      <c r="A32" s="1" t="s">
        <v>74</v>
      </c>
      <c r="B32" s="2" t="s">
        <v>10</v>
      </c>
      <c r="C32" s="27">
        <f>IF(B3="AR 2008",VLOOKUP($A$2,AR2008_Stats!$B$4:$O$15,AR2008_Stats!F$1,FALSE),C47)</f>
        <v>435</v>
      </c>
      <c r="D32" s="28">
        <f>D19/(D33*8.76)</f>
        <v>473.99999999999994</v>
      </c>
      <c r="E32" s="28">
        <f t="shared" ref="E32:Z32" si="12">E19/(E33*8.76)</f>
        <v>481.99999999999983</v>
      </c>
      <c r="F32" s="28">
        <f t="shared" si="12"/>
        <v>489.99999999999994</v>
      </c>
      <c r="G32" s="28">
        <f t="shared" si="12"/>
        <v>497.99999999999972</v>
      </c>
      <c r="H32" s="28">
        <f t="shared" si="12"/>
        <v>508.99999999999983</v>
      </c>
      <c r="I32" s="28">
        <f t="shared" si="12"/>
        <v>519.99999999999989</v>
      </c>
      <c r="J32" s="28">
        <f t="shared" si="12"/>
        <v>532.99999999999989</v>
      </c>
      <c r="K32" s="28">
        <f t="shared" si="12"/>
        <v>548.99999999999977</v>
      </c>
      <c r="L32" s="28">
        <f t="shared" si="12"/>
        <v>564.99999999999966</v>
      </c>
      <c r="M32" s="28">
        <f t="shared" si="12"/>
        <v>584.99999999999977</v>
      </c>
      <c r="N32" s="28">
        <f t="shared" si="12"/>
        <v>603.99999999999977</v>
      </c>
      <c r="O32" s="28">
        <f t="shared" si="12"/>
        <v>623.99999999999977</v>
      </c>
      <c r="P32" s="28">
        <f t="shared" si="12"/>
        <v>644.99999999999989</v>
      </c>
      <c r="Q32" s="28">
        <f t="shared" si="12"/>
        <v>665.99999999999989</v>
      </c>
      <c r="R32" s="28">
        <f t="shared" si="12"/>
        <v>687.99999999999989</v>
      </c>
      <c r="S32" s="28">
        <f t="shared" si="12"/>
        <v>710.99999999999977</v>
      </c>
      <c r="T32" s="28">
        <f t="shared" si="12"/>
        <v>733.99999999999989</v>
      </c>
      <c r="U32" s="28">
        <f t="shared" si="12"/>
        <v>757.56655518394621</v>
      </c>
      <c r="V32" s="28">
        <f t="shared" si="12"/>
        <v>781.88976230690912</v>
      </c>
      <c r="W32" s="28">
        <f t="shared" si="12"/>
        <v>806.99391521040843</v>
      </c>
      <c r="X32" s="28">
        <f t="shared" si="12"/>
        <v>832.90408773890317</v>
      </c>
      <c r="Y32" s="28">
        <f t="shared" si="12"/>
        <v>859.64615878336292</v>
      </c>
      <c r="Z32" s="28">
        <f t="shared" si="12"/>
        <v>887.24683812891578</v>
      </c>
    </row>
    <row r="33" spans="1:27" ht="15" x14ac:dyDescent="0.25">
      <c r="A33" s="1" t="s">
        <v>7</v>
      </c>
      <c r="C33" s="14">
        <f>C19/(C32*8.76)</f>
        <v>0.69621581903112362</v>
      </c>
      <c r="D33" s="14">
        <f t="shared" ref="D33:T33" si="13">IF(B3="AR 2008",D49,D50)</f>
        <v>0.69841820318671366</v>
      </c>
      <c r="E33" s="14">
        <f t="shared" si="13"/>
        <v>0.69701017450122216</v>
      </c>
      <c r="F33" s="14">
        <f t="shared" si="13"/>
        <v>0.69704594166433698</v>
      </c>
      <c r="G33" s="14">
        <f t="shared" si="13"/>
        <v>0.69730978709357982</v>
      </c>
      <c r="H33" s="14">
        <f t="shared" si="13"/>
        <v>0.69906074225583337</v>
      </c>
      <c r="I33" s="14">
        <f t="shared" si="13"/>
        <v>0.69700561995082544</v>
      </c>
      <c r="J33" s="14">
        <f t="shared" si="13"/>
        <v>0.69735365425308626</v>
      </c>
      <c r="K33" s="14">
        <f t="shared" si="13"/>
        <v>0.69719955751844365</v>
      </c>
      <c r="L33" s="14">
        <f t="shared" si="13"/>
        <v>0.69927668000161636</v>
      </c>
      <c r="M33" s="14">
        <f t="shared" si="13"/>
        <v>0.69644460055418966</v>
      </c>
      <c r="N33" s="14">
        <f t="shared" si="13"/>
        <v>0.69702742750007562</v>
      </c>
      <c r="O33" s="14">
        <f t="shared" si="13"/>
        <v>0.69737150216602273</v>
      </c>
      <c r="P33" s="14">
        <f t="shared" si="13"/>
        <v>0.69732044883366961</v>
      </c>
      <c r="Q33" s="14">
        <f t="shared" si="13"/>
        <v>0.69744401936182765</v>
      </c>
      <c r="R33" s="14">
        <f t="shared" si="13"/>
        <v>0.69737575661038542</v>
      </c>
      <c r="S33" s="14">
        <f t="shared" si="13"/>
        <v>0.69697320000770668</v>
      </c>
      <c r="T33" s="14">
        <f t="shared" si="13"/>
        <v>0.69752902093986791</v>
      </c>
      <c r="U33" s="14">
        <f>T33</f>
        <v>0.69752902093986791</v>
      </c>
      <c r="V33" s="14">
        <f t="shared" ref="V33:Z33" si="14">U33</f>
        <v>0.69752902093986791</v>
      </c>
      <c r="W33" s="14">
        <f t="shared" si="14"/>
        <v>0.69752902093986791</v>
      </c>
      <c r="X33" s="14">
        <f t="shared" si="14"/>
        <v>0.69752902093986791</v>
      </c>
      <c r="Y33" s="14">
        <f t="shared" si="14"/>
        <v>0.69752902093986791</v>
      </c>
      <c r="Z33" s="14">
        <f t="shared" si="14"/>
        <v>0.69752902093986791</v>
      </c>
    </row>
    <row r="34" spans="1:27" ht="15" x14ac:dyDescent="0.25">
      <c r="A34" s="1" t="s">
        <v>8</v>
      </c>
      <c r="C34" s="15"/>
      <c r="D34" s="15">
        <f t="shared" ref="D34:J34" si="15">D32/C32-1</f>
        <v>8.9655172413793061E-2</v>
      </c>
      <c r="E34" s="15">
        <f t="shared" si="15"/>
        <v>1.6877637130801482E-2</v>
      </c>
      <c r="F34" s="15">
        <f t="shared" si="15"/>
        <v>1.6597510373444146E-2</v>
      </c>
      <c r="G34" s="15">
        <f t="shared" si="15"/>
        <v>1.6326530612244428E-2</v>
      </c>
      <c r="H34" s="15">
        <f t="shared" si="15"/>
        <v>2.2088353413654893E-2</v>
      </c>
      <c r="I34" s="15">
        <f t="shared" si="15"/>
        <v>2.1611001964636722E-2</v>
      </c>
      <c r="J34" s="15">
        <f t="shared" si="15"/>
        <v>2.4999999999999911E-2</v>
      </c>
    </row>
    <row r="35" spans="1:27" ht="15" x14ac:dyDescent="0.25">
      <c r="A35" s="1" t="s">
        <v>75</v>
      </c>
      <c r="B35" s="2" t="s">
        <v>10</v>
      </c>
      <c r="C35" s="35">
        <f>IF(B3="AR 2008",C52,C53)</f>
        <v>384</v>
      </c>
      <c r="D35" s="15"/>
      <c r="E35" s="15"/>
      <c r="F35" s="15"/>
      <c r="G35" s="15"/>
      <c r="H35" s="15"/>
      <c r="I35" s="15"/>
      <c r="J35" s="15"/>
    </row>
    <row r="36" spans="1:27" s="1" customFormat="1" x14ac:dyDescent="0.2">
      <c r="A36" s="1" t="s">
        <v>81</v>
      </c>
      <c r="B36" s="1" t="s">
        <v>10</v>
      </c>
      <c r="C36" s="72">
        <f>MAX(0,C32-C35)</f>
        <v>51</v>
      </c>
      <c r="D36" s="77">
        <f>C20/(C33*8.76)</f>
        <v>335.30908405578595</v>
      </c>
      <c r="E36" s="76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1:27" ht="15" x14ac:dyDescent="0.25">
      <c r="A37" s="1" t="s">
        <v>79</v>
      </c>
      <c r="C37" s="15">
        <f>C35/C32-1</f>
        <v>-0.11724137931034484</v>
      </c>
      <c r="D37" s="34">
        <f>C37</f>
        <v>-0.11724137931034484</v>
      </c>
      <c r="E37" s="34">
        <f t="shared" ref="E37:AA37" si="16">D37</f>
        <v>-0.11724137931034484</v>
      </c>
      <c r="F37" s="34">
        <f t="shared" si="16"/>
        <v>-0.11724137931034484</v>
      </c>
      <c r="G37" s="34">
        <f t="shared" si="16"/>
        <v>-0.11724137931034484</v>
      </c>
      <c r="H37" s="34">
        <f t="shared" si="16"/>
        <v>-0.11724137931034484</v>
      </c>
      <c r="I37" s="34">
        <f t="shared" si="16"/>
        <v>-0.11724137931034484</v>
      </c>
      <c r="J37" s="34">
        <f t="shared" si="16"/>
        <v>-0.11724137931034484</v>
      </c>
      <c r="K37" s="34">
        <f t="shared" si="16"/>
        <v>-0.11724137931034484</v>
      </c>
      <c r="L37" s="34">
        <f t="shared" si="16"/>
        <v>-0.11724137931034484</v>
      </c>
      <c r="M37" s="34">
        <f t="shared" si="16"/>
        <v>-0.11724137931034484</v>
      </c>
      <c r="N37" s="34">
        <f t="shared" si="16"/>
        <v>-0.11724137931034484</v>
      </c>
      <c r="O37" s="34">
        <f t="shared" si="16"/>
        <v>-0.11724137931034484</v>
      </c>
      <c r="P37" s="34">
        <f t="shared" si="16"/>
        <v>-0.11724137931034484</v>
      </c>
      <c r="Q37" s="34">
        <f t="shared" si="16"/>
        <v>-0.11724137931034484</v>
      </c>
      <c r="R37" s="34">
        <f t="shared" si="16"/>
        <v>-0.11724137931034484</v>
      </c>
      <c r="S37" s="34">
        <f t="shared" si="16"/>
        <v>-0.11724137931034484</v>
      </c>
      <c r="T37" s="34">
        <f t="shared" si="16"/>
        <v>-0.11724137931034484</v>
      </c>
      <c r="U37" s="34">
        <f t="shared" si="16"/>
        <v>-0.11724137931034484</v>
      </c>
      <c r="V37" s="34">
        <f t="shared" si="16"/>
        <v>-0.11724137931034484</v>
      </c>
      <c r="W37" s="34">
        <f t="shared" si="16"/>
        <v>-0.11724137931034484</v>
      </c>
      <c r="X37" s="34">
        <f t="shared" si="16"/>
        <v>-0.11724137931034484</v>
      </c>
      <c r="Y37" s="34">
        <f t="shared" si="16"/>
        <v>-0.11724137931034484</v>
      </c>
      <c r="Z37" s="34">
        <f t="shared" si="16"/>
        <v>-0.11724137931034484</v>
      </c>
      <c r="AA37" s="34">
        <f t="shared" si="16"/>
        <v>-0.11724137931034484</v>
      </c>
    </row>
    <row r="38" spans="1:27" ht="15" x14ac:dyDescent="0.25">
      <c r="A38" s="1"/>
      <c r="C38" s="15"/>
      <c r="D38" s="15"/>
      <c r="E38" s="15"/>
      <c r="F38" s="15"/>
      <c r="G38" s="15"/>
      <c r="H38" s="15"/>
      <c r="I38" s="15"/>
      <c r="J38" s="15"/>
    </row>
    <row r="39" spans="1:27" ht="15" x14ac:dyDescent="0.25">
      <c r="A39" s="3" t="s">
        <v>78</v>
      </c>
      <c r="C39" s="15"/>
      <c r="D39" s="36"/>
      <c r="E39" s="36"/>
      <c r="F39" s="36"/>
      <c r="G39" s="36"/>
      <c r="H39" s="36"/>
      <c r="I39" s="35"/>
      <c r="J39" s="35"/>
    </row>
    <row r="40" spans="1:27" ht="15" x14ac:dyDescent="0.25">
      <c r="A40" s="1" t="s">
        <v>69</v>
      </c>
      <c r="B40" s="1" t="s">
        <v>1</v>
      </c>
      <c r="D40" s="23">
        <f>SUMIF(AR2008_EnergyProj!$A$3:$A$14,NAM!$A$2,AR2008_EnergyProj!B$3:B$14)</f>
        <v>3007</v>
      </c>
      <c r="E40" s="23">
        <f>SUMIF(AR2008_EnergyProj!$A$3:$A$14,NAM!$A$2,AR2008_EnergyProj!C$3:C$14)</f>
        <v>3091</v>
      </c>
      <c r="F40" s="23">
        <f>SUMIF(AR2008_EnergyProj!$A$3:$A$14,NAM!$A$2,AR2008_EnergyProj!D$3:D$14)</f>
        <v>3236</v>
      </c>
      <c r="G40" s="23">
        <f>SUMIF(AR2008_EnergyProj!$A$3:$A$14,NAM!$A$2,AR2008_EnergyProj!E$3:E$14)</f>
        <v>3373</v>
      </c>
      <c r="H40" s="23">
        <f>SUMIF(AR2008_EnergyProj!$A$3:$A$14,NAM!$A$2,AR2008_EnergyProj!F$3:F$14)</f>
        <v>3513</v>
      </c>
      <c r="I40" s="23">
        <f>SUMIF(AR2008_EnergyProj!$A$3:$A$14,NAM!$A$2,AR2008_EnergyProj!G$3:G$14)</f>
        <v>3701</v>
      </c>
      <c r="J40" s="23">
        <f>SUMIF(AR2008_EnergyProj!$A$3:$A$14,NAM!$A$2,AR2008_EnergyProj!H$3:H$14)</f>
        <v>3848</v>
      </c>
      <c r="K40" s="23">
        <f>SUMIF(AR2008_EnergyProj!$A$3:$A$14,NAM!$A$2,AR2008_EnergyProj!I$3:I$14)</f>
        <v>3956</v>
      </c>
      <c r="L40" s="23">
        <f>SUMIF(AR2008_EnergyProj!$A$3:$A$14,NAM!$A$2,AR2008_EnergyProj!J$3:J$14)</f>
        <v>4123</v>
      </c>
      <c r="M40" s="23">
        <f>SUMIF(AR2008_EnergyProj!$A$3:$A$14,NAM!$A$2,AR2008_EnergyProj!K$3:K$14)</f>
        <v>4289</v>
      </c>
      <c r="N40" s="23">
        <f>SUMIF(AR2008_EnergyProj!$A$3:$A$14,NAM!$A$2,AR2008_EnergyProj!L$3:L$14)</f>
        <v>4496</v>
      </c>
      <c r="O40" s="23">
        <f>SUMIF(AR2008_EnergyProj!$A$3:$A$14,NAM!$A$2,AR2008_EnergyProj!M$3:M$14)</f>
        <v>4663</v>
      </c>
      <c r="P40" s="23">
        <f>SUMIF(AR2008_EnergyProj!$A$3:$A$14,NAM!$A$2,AR2008_EnergyProj!N$3:N$14)</f>
        <v>4838</v>
      </c>
      <c r="Q40" s="23">
        <f>SUMIF(AR2008_EnergyProj!$A$3:$A$14,NAM!$A$2,AR2008_EnergyProj!O$3:O$14)</f>
        <v>4966</v>
      </c>
      <c r="R40" s="23">
        <f>SUMIF(AR2008_EnergyProj!$A$3:$A$14,NAM!$A$2,AR2008_EnergyProj!P$3:P$14)</f>
        <v>5143</v>
      </c>
      <c r="S40" s="23">
        <f>SUMIF(AR2008_EnergyProj!$A$3:$A$14,NAM!$A$2,AR2008_EnergyProj!Q$3:Q$14)</f>
        <v>5338</v>
      </c>
      <c r="T40" s="23">
        <f>SUMIF(AR2008_EnergyProj!$A$3:$A$14,NAM!$A$2,AR2008_EnergyProj!R$3:R$14)</f>
        <v>5579</v>
      </c>
    </row>
    <row r="41" spans="1:27" ht="15" x14ac:dyDescent="0.25">
      <c r="A41" s="1" t="s">
        <v>11</v>
      </c>
      <c r="B41" s="1"/>
      <c r="D41" s="26">
        <f>VLOOKUP($A$2,AR2008_Stats!$B$4:$O$15,AR2008_Stats!I$1,FALSE)/100</f>
        <v>4.4000000000000004E-2</v>
      </c>
      <c r="E41" s="18">
        <f>E40/D40-1</f>
        <v>2.793481875623538E-2</v>
      </c>
      <c r="F41" s="18">
        <f t="shared" ref="F41:T41" si="17">F40/E40-1</f>
        <v>4.6910384988676723E-2</v>
      </c>
      <c r="G41" s="18">
        <f t="shared" si="17"/>
        <v>4.2336217552533917E-2</v>
      </c>
      <c r="H41" s="18">
        <f t="shared" si="17"/>
        <v>4.1506077675659725E-2</v>
      </c>
      <c r="I41" s="18">
        <f t="shared" si="17"/>
        <v>5.3515513805863835E-2</v>
      </c>
      <c r="J41" s="18">
        <f t="shared" si="17"/>
        <v>3.9718994866252411E-2</v>
      </c>
      <c r="K41" s="18">
        <f t="shared" si="17"/>
        <v>2.8066528066527985E-2</v>
      </c>
      <c r="L41" s="18">
        <f t="shared" si="17"/>
        <v>4.2214357937310432E-2</v>
      </c>
      <c r="M41" s="18">
        <f t="shared" si="17"/>
        <v>4.0261945185544601E-2</v>
      </c>
      <c r="N41" s="18">
        <f t="shared" si="17"/>
        <v>4.826299836791792E-2</v>
      </c>
      <c r="O41" s="18">
        <f t="shared" si="17"/>
        <v>3.7144128113878905E-2</v>
      </c>
      <c r="P41" s="18">
        <f t="shared" si="17"/>
        <v>3.7529487454428523E-2</v>
      </c>
      <c r="Q41" s="18">
        <f t="shared" si="17"/>
        <v>2.6457213724679685E-2</v>
      </c>
      <c r="R41" s="18">
        <f t="shared" si="17"/>
        <v>3.5642368103101063E-2</v>
      </c>
      <c r="S41" s="18">
        <f t="shared" si="17"/>
        <v>3.7915613455181907E-2</v>
      </c>
      <c r="T41" s="18">
        <f t="shared" si="17"/>
        <v>4.5147995503934002E-2</v>
      </c>
      <c r="U41" s="4">
        <f>T41</f>
        <v>4.5147995503934002E-2</v>
      </c>
    </row>
    <row r="42" spans="1:27" ht="15" x14ac:dyDescent="0.25">
      <c r="A42" s="1" t="s">
        <v>40</v>
      </c>
      <c r="B42" s="1" t="s">
        <v>1</v>
      </c>
      <c r="C42" s="23">
        <f>SUMIF(PoolPlan_EnergyProj!$B$60:$B$71,NAM!$A$2,PoolPlan_EnergyProj!D$60:D$71)</f>
        <v>2653</v>
      </c>
      <c r="D42" s="23">
        <f>SUMIF(PoolPlan_EnergyProj!$B$60:$B$71,NAM!$A$2,PoolPlan_EnergyProj!E$60:E$71)</f>
        <v>2900</v>
      </c>
      <c r="E42" s="23">
        <f>SUMIF(PoolPlan_EnergyProj!$B$60:$B$71,NAM!$A$2,PoolPlan_EnergyProj!F$60:F$71)</f>
        <v>2943</v>
      </c>
      <c r="F42" s="23">
        <f>SUMIF(PoolPlan_EnergyProj!$B$60:$B$71,NAM!$A$2,PoolPlan_EnergyProj!G$60:G$71)</f>
        <v>2992</v>
      </c>
      <c r="G42" s="23">
        <f>SUMIF(PoolPlan_EnergyProj!$B$60:$B$71,NAM!$A$2,PoolPlan_EnergyProj!H$60:H$71)</f>
        <v>3042</v>
      </c>
      <c r="H42" s="23">
        <f>SUMIF(PoolPlan_EnergyProj!$B$60:$B$71,NAM!$A$2,PoolPlan_EnergyProj!I$60:I$71)</f>
        <v>3117</v>
      </c>
      <c r="I42" s="23">
        <f>SUMIF(PoolPlan_EnergyProj!$B$60:$B$71,NAM!$A$2,PoolPlan_EnergyProj!J$60:J$71)</f>
        <v>3175</v>
      </c>
      <c r="J42" s="23">
        <f>SUMIF(PoolPlan_EnergyProj!$B$60:$B$71,NAM!$A$2,PoolPlan_EnergyProj!K$60:K$71)</f>
        <v>3256</v>
      </c>
      <c r="K42" s="23">
        <f>SUMIF(PoolPlan_EnergyProj!$B$60:$B$71,NAM!$A$2,PoolPlan_EnergyProj!L$60:L$71)</f>
        <v>3353</v>
      </c>
      <c r="L42" s="23">
        <f>SUMIF(PoolPlan_EnergyProj!$B$60:$B$71,NAM!$A$2,PoolPlan_EnergyProj!M$60:M$71)</f>
        <v>3461</v>
      </c>
      <c r="M42" s="23">
        <f>SUMIF(PoolPlan_EnergyProj!$B$60:$B$71,NAM!$A$2,PoolPlan_EnergyProj!N$60:N$71)</f>
        <v>3569</v>
      </c>
      <c r="N42" s="23">
        <f>SUMIF(PoolPlan_EnergyProj!$B$60:$B$71,NAM!$A$2,PoolPlan_EnergyProj!O$60:O$71)</f>
        <v>3688</v>
      </c>
      <c r="O42" s="23">
        <f>SUMIF(PoolPlan_EnergyProj!$B$60:$B$71,NAM!$A$2,PoolPlan_EnergyProj!P$60:P$71)</f>
        <v>3812</v>
      </c>
      <c r="P42" s="23">
        <f>SUMIF(PoolPlan_EnergyProj!$B$60:$B$71,NAM!$A$2,PoolPlan_EnergyProj!Q$60:Q$71)</f>
        <v>3940</v>
      </c>
      <c r="Q42" s="23">
        <f>SUMIF(PoolPlan_EnergyProj!$B$60:$B$71,NAM!$A$2,PoolPlan_EnergyProj!R$60:R$71)</f>
        <v>4069</v>
      </c>
      <c r="R42" s="23">
        <f>SUMIF(PoolPlan_EnergyProj!$B$60:$B$71,NAM!$A$2,PoolPlan_EnergyProj!S$60:S$71)</f>
        <v>4203</v>
      </c>
      <c r="S42" s="23">
        <f>SUMIF(PoolPlan_EnergyProj!$B$60:$B$71,NAM!$A$2,PoolPlan_EnergyProj!T$60:T$71)</f>
        <v>4341</v>
      </c>
      <c r="T42" s="23">
        <f>SUMIF(PoolPlan_EnergyProj!$B$60:$B$71,NAM!$A$2,PoolPlan_EnergyProj!U$60:U$71)</f>
        <v>4485</v>
      </c>
      <c r="U42" s="23">
        <f>SUMIF(PoolPlan_EnergyProj!$B$60:$B$71,NAM!$A$2,PoolPlan_EnergyProj!V$60:V$71)</f>
        <v>4629</v>
      </c>
      <c r="V42" s="23"/>
    </row>
    <row r="43" spans="1:27" x14ac:dyDescent="0.2">
      <c r="A43" s="1" t="s">
        <v>11</v>
      </c>
      <c r="B43" s="1"/>
      <c r="C43" s="16"/>
      <c r="D43" s="18">
        <f>D42/C42-1</f>
        <v>9.310214851111942E-2</v>
      </c>
      <c r="E43" s="18">
        <f t="shared" ref="E43:U43" si="18">E42/D42-1</f>
        <v>1.4827586206896504E-2</v>
      </c>
      <c r="F43" s="18">
        <f t="shared" si="18"/>
        <v>1.6649677200135882E-2</v>
      </c>
      <c r="G43" s="18">
        <f t="shared" si="18"/>
        <v>1.6711229946523964E-2</v>
      </c>
      <c r="H43" s="18">
        <f t="shared" si="18"/>
        <v>2.4654832347140054E-2</v>
      </c>
      <c r="I43" s="18">
        <f t="shared" si="18"/>
        <v>1.8607635547000401E-2</v>
      </c>
      <c r="J43" s="18">
        <f t="shared" si="18"/>
        <v>2.55118110236221E-2</v>
      </c>
      <c r="K43" s="18">
        <f t="shared" si="18"/>
        <v>2.9791154791154684E-2</v>
      </c>
      <c r="L43" s="18">
        <f t="shared" si="18"/>
        <v>3.2209961228750306E-2</v>
      </c>
      <c r="M43" s="18">
        <f t="shared" si="18"/>
        <v>3.120485408841378E-2</v>
      </c>
      <c r="N43" s="18">
        <f t="shared" si="18"/>
        <v>3.3342673017652036E-2</v>
      </c>
      <c r="O43" s="18">
        <f t="shared" si="18"/>
        <v>3.3622559652928485E-2</v>
      </c>
      <c r="P43" s="18">
        <f t="shared" si="18"/>
        <v>3.3578174186778664E-2</v>
      </c>
      <c r="Q43" s="18">
        <f t="shared" si="18"/>
        <v>3.2741116751269006E-2</v>
      </c>
      <c r="R43" s="18">
        <f t="shared" si="18"/>
        <v>3.2931924305726223E-2</v>
      </c>
      <c r="S43" s="18">
        <f t="shared" si="18"/>
        <v>3.2833690221270473E-2</v>
      </c>
      <c r="T43" s="18">
        <f t="shared" si="18"/>
        <v>3.3172080165860374E-2</v>
      </c>
      <c r="U43" s="18">
        <f t="shared" si="18"/>
        <v>3.2107023411371172E-2</v>
      </c>
    </row>
    <row r="44" spans="1:27" x14ac:dyDescent="0.2">
      <c r="A44" s="1"/>
      <c r="B44" s="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7" ht="15" x14ac:dyDescent="0.25">
      <c r="A45" s="1" t="s">
        <v>9</v>
      </c>
      <c r="B45" s="1" t="s">
        <v>10</v>
      </c>
      <c r="C45"/>
      <c r="D45">
        <f>SUMIF(AR2008_PeakProj!$A$3:$A$14,NAM!$A$2,AR2008_PeakProj!B$3:B$14)</f>
        <v>475</v>
      </c>
      <c r="E45">
        <f>SUMIF(AR2008_PeakProj!$A$3:$A$14,NAM!$A$2,AR2008_PeakProj!C$3:C$14)</f>
        <v>485</v>
      </c>
      <c r="F45">
        <f>SUMIF(AR2008_PeakProj!$A$3:$A$14,NAM!$A$2,AR2008_PeakProj!D$3:D$14)</f>
        <v>509</v>
      </c>
      <c r="G45">
        <f>SUMIF(AR2008_PeakProj!$A$3:$A$14,NAM!$A$2,AR2008_PeakProj!E$3:E$14)</f>
        <v>531</v>
      </c>
      <c r="H45">
        <f>SUMIF(AR2008_PeakProj!$A$3:$A$14,NAM!$A$2,AR2008_PeakProj!F$3:F$14)</f>
        <v>576</v>
      </c>
      <c r="I45">
        <f>SUMIF(AR2008_PeakProj!$A$3:$A$14,NAM!$A$2,AR2008_PeakProj!G$3:G$14)</f>
        <v>599</v>
      </c>
      <c r="J45">
        <f>SUMIF(AR2008_PeakProj!$A$3:$A$14,NAM!$A$2,AR2008_PeakProj!H$3:H$14)</f>
        <v>623</v>
      </c>
      <c r="K45">
        <f>SUMIF(AR2008_PeakProj!$A$3:$A$14,NAM!$A$2,AR2008_PeakProj!I$3:I$14)</f>
        <v>651</v>
      </c>
      <c r="L45">
        <f>SUMIF(AR2008_PeakProj!$A$3:$A$14,NAM!$A$2,AR2008_PeakProj!J$3:J$14)</f>
        <v>675</v>
      </c>
      <c r="M45">
        <f>SUMIF(AR2008_PeakProj!$A$3:$A$14,NAM!$A$2,AR2008_PeakProj!K$3:K$14)</f>
        <v>703</v>
      </c>
      <c r="N45">
        <f>SUMIF(AR2008_PeakProj!$A$3:$A$14,NAM!$A$2,AR2008_PeakProj!L$3:L$14)</f>
        <v>730</v>
      </c>
      <c r="O45">
        <f>SUMIF(AR2008_PeakProj!$A$3:$A$14,NAM!$A$2,AR2008_PeakProj!M$3:M$14)</f>
        <v>754</v>
      </c>
      <c r="P45">
        <f>SUMIF(AR2008_PeakProj!$A$3:$A$14,NAM!$A$2,AR2008_PeakProj!N$3:N$14)</f>
        <v>779</v>
      </c>
      <c r="Q45">
        <f>SUMIF(AR2008_PeakProj!$A$3:$A$14,NAM!$A$2,AR2008_PeakProj!O$3:O$14)</f>
        <v>815</v>
      </c>
      <c r="R45">
        <f>SUMIF(AR2008_PeakProj!$A$3:$A$14,NAM!$A$2,AR2008_PeakProj!P$3:P$14)</f>
        <v>845</v>
      </c>
      <c r="S45">
        <f>SUMIF(AR2008_PeakProj!$A$3:$A$14,NAM!$A$2,AR2008_PeakProj!Q$3:Q$14)</f>
        <v>875</v>
      </c>
      <c r="T45">
        <f>SUMIF(AR2008_PeakProj!$A$3:$A$14,NAM!$A$2,AR2008_PeakProj!R$3:R$14)</f>
        <v>900</v>
      </c>
      <c r="U45">
        <f>SUMIF(AR2008_PeakProj!$A$3:$A$14,NAM!$A$2,AR2008_PeakProj!S$3:S$14)</f>
        <v>933</v>
      </c>
    </row>
    <row r="46" spans="1:27" x14ac:dyDescent="0.2">
      <c r="A46" s="1" t="s">
        <v>11</v>
      </c>
      <c r="B46" s="1" t="s">
        <v>12</v>
      </c>
      <c r="E46" s="18">
        <f>E45/D45-1</f>
        <v>2.1052631578947434E-2</v>
      </c>
      <c r="F46" s="18">
        <f t="shared" ref="F46:U46" si="19">F45/E45-1</f>
        <v>4.9484536082474273E-2</v>
      </c>
      <c r="G46" s="18">
        <f t="shared" si="19"/>
        <v>4.3222003929273001E-2</v>
      </c>
      <c r="H46" s="18">
        <f t="shared" si="19"/>
        <v>8.4745762711864403E-2</v>
      </c>
      <c r="I46" s="18">
        <f t="shared" si="19"/>
        <v>3.993055555555558E-2</v>
      </c>
      <c r="J46" s="18">
        <f t="shared" si="19"/>
        <v>4.0066777963272182E-2</v>
      </c>
      <c r="K46" s="18">
        <f t="shared" si="19"/>
        <v>4.4943820224719211E-2</v>
      </c>
      <c r="L46" s="18">
        <f t="shared" si="19"/>
        <v>3.6866359447004671E-2</v>
      </c>
      <c r="M46" s="18">
        <f t="shared" si="19"/>
        <v>4.1481481481481453E-2</v>
      </c>
      <c r="N46" s="18">
        <f t="shared" si="19"/>
        <v>3.8406827880512084E-2</v>
      </c>
      <c r="O46" s="18">
        <f t="shared" si="19"/>
        <v>3.287671232876721E-2</v>
      </c>
      <c r="P46" s="18">
        <f t="shared" si="19"/>
        <v>3.3156498673740042E-2</v>
      </c>
      <c r="Q46" s="18">
        <f t="shared" si="19"/>
        <v>4.6213093709884356E-2</v>
      </c>
      <c r="R46" s="18">
        <f t="shared" si="19"/>
        <v>3.6809815950920255E-2</v>
      </c>
      <c r="S46" s="18">
        <f t="shared" si="19"/>
        <v>3.5502958579881616E-2</v>
      </c>
      <c r="T46" s="18">
        <f t="shared" si="19"/>
        <v>2.857142857142847E-2</v>
      </c>
      <c r="U46" s="18">
        <f t="shared" si="19"/>
        <v>3.6666666666666625E-2</v>
      </c>
    </row>
    <row r="47" spans="1:27" ht="15" x14ac:dyDescent="0.25">
      <c r="A47" s="1" t="s">
        <v>39</v>
      </c>
      <c r="B47" s="1" t="s">
        <v>10</v>
      </c>
      <c r="C47">
        <f>SUMIF(PoolPlan_PeakProj!$A$25:$A$36,NAM!$A$2,PoolPlan_PeakProj!C$25:C$36)</f>
        <v>435</v>
      </c>
      <c r="D47">
        <f>SUMIF(PoolPlan_PeakProj!$A$25:$A$36,NAM!$A$2,PoolPlan_PeakProj!D$25:D$36)</f>
        <v>474</v>
      </c>
      <c r="E47">
        <f>SUMIF(PoolPlan_PeakProj!$A$25:$A$36,NAM!$A$2,PoolPlan_PeakProj!E$25:E$36)</f>
        <v>482</v>
      </c>
      <c r="F47">
        <f>SUMIF(PoolPlan_PeakProj!$A$25:$A$36,NAM!$A$2,PoolPlan_PeakProj!F$25:F$36)</f>
        <v>490</v>
      </c>
      <c r="G47">
        <f>SUMIF(PoolPlan_PeakProj!$A$25:$A$36,NAM!$A$2,PoolPlan_PeakProj!G$25:G$36)</f>
        <v>498</v>
      </c>
      <c r="H47">
        <f>SUMIF(PoolPlan_PeakProj!$A$25:$A$36,NAM!$A$2,PoolPlan_PeakProj!H$25:H$36)</f>
        <v>509</v>
      </c>
      <c r="I47">
        <f>SUMIF(PoolPlan_PeakProj!$A$25:$A$36,NAM!$A$2,PoolPlan_PeakProj!I$25:I$36)</f>
        <v>520</v>
      </c>
      <c r="J47">
        <f>SUMIF(PoolPlan_PeakProj!$A$25:$A$36,NAM!$A$2,PoolPlan_PeakProj!J$25:J$36)</f>
        <v>533</v>
      </c>
      <c r="K47">
        <f>SUMIF(PoolPlan_PeakProj!$A$25:$A$36,NAM!$A$2,PoolPlan_PeakProj!K$25:K$36)</f>
        <v>549</v>
      </c>
      <c r="L47">
        <f>SUMIF(PoolPlan_PeakProj!$A$25:$A$36,NAM!$A$2,PoolPlan_PeakProj!L$25:L$36)</f>
        <v>565</v>
      </c>
      <c r="M47">
        <f>SUMIF(PoolPlan_PeakProj!$A$25:$A$36,NAM!$A$2,PoolPlan_PeakProj!M$25:M$36)</f>
        <v>585</v>
      </c>
      <c r="N47">
        <f>SUMIF(PoolPlan_PeakProj!$A$25:$A$36,NAM!$A$2,PoolPlan_PeakProj!N$25:N$36)</f>
        <v>604</v>
      </c>
      <c r="O47">
        <f>SUMIF(PoolPlan_PeakProj!$A$25:$A$36,NAM!$A$2,PoolPlan_PeakProj!O$25:O$36)</f>
        <v>624</v>
      </c>
      <c r="P47">
        <f>SUMIF(PoolPlan_PeakProj!$A$25:$A$36,NAM!$A$2,PoolPlan_PeakProj!P$25:P$36)</f>
        <v>645</v>
      </c>
      <c r="Q47">
        <f>SUMIF(PoolPlan_PeakProj!$A$25:$A$36,NAM!$A$2,PoolPlan_PeakProj!Q$25:Q$36)</f>
        <v>666</v>
      </c>
      <c r="R47">
        <f>SUMIF(PoolPlan_PeakProj!$A$25:$A$36,NAM!$A$2,PoolPlan_PeakProj!R$25:R$36)</f>
        <v>688</v>
      </c>
      <c r="S47">
        <f>SUMIF(PoolPlan_PeakProj!$A$25:$A$36,NAM!$A$2,PoolPlan_PeakProj!S$25:S$36)</f>
        <v>711</v>
      </c>
      <c r="T47">
        <f>SUMIF(PoolPlan_PeakProj!$A$25:$A$36,NAM!$A$2,PoolPlan_PeakProj!T$25:T$36)</f>
        <v>734</v>
      </c>
      <c r="U47">
        <f>SUMIF(PoolPlan_PeakProj!$A$25:$A$36,NAM!$A$2,PoolPlan_PeakProj!U$25:U$36)</f>
        <v>758</v>
      </c>
    </row>
    <row r="48" spans="1:27" x14ac:dyDescent="0.2">
      <c r="A48" s="1" t="s">
        <v>11</v>
      </c>
      <c r="B48" s="1"/>
      <c r="D48" s="18">
        <f>D47/C47-1</f>
        <v>8.9655172413793061E-2</v>
      </c>
      <c r="E48" s="18">
        <f t="shared" ref="E48:U48" si="20">E47/D47-1</f>
        <v>1.6877637130801704E-2</v>
      </c>
      <c r="F48" s="18">
        <f t="shared" si="20"/>
        <v>1.6597510373443924E-2</v>
      </c>
      <c r="G48" s="18">
        <f t="shared" si="20"/>
        <v>1.6326530612244872E-2</v>
      </c>
      <c r="H48" s="18">
        <f t="shared" si="20"/>
        <v>2.2088353413654671E-2</v>
      </c>
      <c r="I48" s="18">
        <f t="shared" si="20"/>
        <v>2.16110019646365E-2</v>
      </c>
      <c r="J48" s="18">
        <f t="shared" si="20"/>
        <v>2.4999999999999911E-2</v>
      </c>
      <c r="K48" s="18">
        <f t="shared" si="20"/>
        <v>3.0018761726078758E-2</v>
      </c>
      <c r="L48" s="18">
        <f t="shared" si="20"/>
        <v>2.9143897996356971E-2</v>
      </c>
      <c r="M48" s="18">
        <f t="shared" si="20"/>
        <v>3.539823008849563E-2</v>
      </c>
      <c r="N48" s="18">
        <f t="shared" si="20"/>
        <v>3.2478632478632585E-2</v>
      </c>
      <c r="O48" s="18">
        <f t="shared" si="20"/>
        <v>3.3112582781456901E-2</v>
      </c>
      <c r="P48" s="18">
        <f t="shared" si="20"/>
        <v>3.3653846153846256E-2</v>
      </c>
      <c r="Q48" s="18">
        <f t="shared" si="20"/>
        <v>3.2558139534883734E-2</v>
      </c>
      <c r="R48" s="18">
        <f t="shared" si="20"/>
        <v>3.3033033033033066E-2</v>
      </c>
      <c r="S48" s="18">
        <f t="shared" si="20"/>
        <v>3.3430232558139483E-2</v>
      </c>
      <c r="T48" s="18">
        <f t="shared" si="20"/>
        <v>3.234880450070321E-2</v>
      </c>
      <c r="U48" s="18">
        <f t="shared" si="20"/>
        <v>3.2697547683923744E-2</v>
      </c>
    </row>
    <row r="49" spans="1:20" x14ac:dyDescent="0.2">
      <c r="A49" s="1" t="s">
        <v>70</v>
      </c>
      <c r="B49" s="1" t="s">
        <v>12</v>
      </c>
      <c r="D49" s="18">
        <f t="shared" ref="D49:T49" si="21">D40/(D45*8.76)</f>
        <v>0.72266282143715455</v>
      </c>
      <c r="E49" s="18">
        <f t="shared" si="21"/>
        <v>0.72753377583203893</v>
      </c>
      <c r="F49" s="18">
        <f t="shared" si="21"/>
        <v>0.72574929802370125</v>
      </c>
      <c r="G49" s="18">
        <f t="shared" si="21"/>
        <v>0.7251330736355116</v>
      </c>
      <c r="H49" s="18">
        <f t="shared" si="21"/>
        <v>0.6962281202435312</v>
      </c>
      <c r="I49" s="18">
        <f t="shared" si="21"/>
        <v>0.70532317942384948</v>
      </c>
      <c r="J49" s="18">
        <f t="shared" si="21"/>
        <v>0.70508732968329713</v>
      </c>
      <c r="K49" s="18">
        <f t="shared" si="21"/>
        <v>0.69369919126878909</v>
      </c>
      <c r="L49" s="18">
        <f t="shared" si="21"/>
        <v>0.69727718586166076</v>
      </c>
      <c r="M49" s="18">
        <f t="shared" si="21"/>
        <v>0.69646070006560279</v>
      </c>
      <c r="N49" s="18">
        <f t="shared" si="21"/>
        <v>0.70307124538687682</v>
      </c>
      <c r="O49" s="18">
        <f t="shared" si="21"/>
        <v>0.70597604253721402</v>
      </c>
      <c r="P49" s="18">
        <f t="shared" si="21"/>
        <v>0.70896419130016819</v>
      </c>
      <c r="Q49" s="18">
        <f t="shared" si="21"/>
        <v>0.69557665910300592</v>
      </c>
      <c r="R49" s="18">
        <f t="shared" si="21"/>
        <v>0.6947934397881711</v>
      </c>
      <c r="S49" s="18">
        <f t="shared" si="21"/>
        <v>0.69641226353555119</v>
      </c>
      <c r="T49" s="18">
        <f t="shared" si="21"/>
        <v>0.70763571790969049</v>
      </c>
    </row>
    <row r="50" spans="1:20" x14ac:dyDescent="0.2">
      <c r="A50" s="1" t="s">
        <v>41</v>
      </c>
      <c r="C50" s="18">
        <f t="shared" ref="C50:T50" si="22">C42/(C47*8.76)</f>
        <v>0.69621581903112373</v>
      </c>
      <c r="D50" s="18">
        <f t="shared" si="22"/>
        <v>0.69841820318671366</v>
      </c>
      <c r="E50" s="18">
        <f t="shared" si="22"/>
        <v>0.69701017450122216</v>
      </c>
      <c r="F50" s="18">
        <f t="shared" si="22"/>
        <v>0.69704594166433698</v>
      </c>
      <c r="G50" s="18">
        <f t="shared" si="22"/>
        <v>0.69730978709357982</v>
      </c>
      <c r="H50" s="18">
        <f t="shared" si="22"/>
        <v>0.69906074225583337</v>
      </c>
      <c r="I50" s="18">
        <f t="shared" si="22"/>
        <v>0.69700561995082544</v>
      </c>
      <c r="J50" s="18">
        <f t="shared" si="22"/>
        <v>0.69735365425308626</v>
      </c>
      <c r="K50" s="18">
        <f t="shared" si="22"/>
        <v>0.69719955751844365</v>
      </c>
      <c r="L50" s="18">
        <f t="shared" si="22"/>
        <v>0.69927668000161636</v>
      </c>
      <c r="M50" s="18">
        <f t="shared" si="22"/>
        <v>0.69644460055418966</v>
      </c>
      <c r="N50" s="18">
        <f t="shared" si="22"/>
        <v>0.69702742750007562</v>
      </c>
      <c r="O50" s="18">
        <f t="shared" si="22"/>
        <v>0.69737150216602273</v>
      </c>
      <c r="P50" s="18">
        <f t="shared" si="22"/>
        <v>0.69732044883366961</v>
      </c>
      <c r="Q50" s="18">
        <f t="shared" si="22"/>
        <v>0.69744401936182765</v>
      </c>
      <c r="R50" s="18">
        <f t="shared" si="22"/>
        <v>0.69737575661038542</v>
      </c>
      <c r="S50" s="18">
        <f t="shared" si="22"/>
        <v>0.69697320000770668</v>
      </c>
      <c r="T50" s="18">
        <f t="shared" si="22"/>
        <v>0.69752902093986791</v>
      </c>
    </row>
    <row r="51" spans="1:20" x14ac:dyDescent="0.2">
      <c r="A51" s="1" t="s">
        <v>114</v>
      </c>
      <c r="C51" s="18"/>
      <c r="D51" s="16">
        <f>D50/C50-1</f>
        <v>3.1633641399513301E-3</v>
      </c>
      <c r="E51" s="16">
        <f t="shared" ref="E51:T51" si="23">E50/D50-1</f>
        <v>-2.0160251824293818E-3</v>
      </c>
      <c r="F51" s="16">
        <f t="shared" si="23"/>
        <v>5.1315123398953943E-5</v>
      </c>
      <c r="G51" s="16">
        <f t="shared" si="23"/>
        <v>3.7851942529476545E-4</v>
      </c>
      <c r="H51" s="16">
        <f t="shared" si="23"/>
        <v>2.5110147522116044E-3</v>
      </c>
      <c r="I51" s="16">
        <f t="shared" si="23"/>
        <v>-2.9398336664939739E-3</v>
      </c>
      <c r="J51" s="16">
        <f t="shared" si="23"/>
        <v>4.9932782792394548E-4</v>
      </c>
      <c r="K51" s="16">
        <f t="shared" si="23"/>
        <v>-2.2097358162931346E-4</v>
      </c>
      <c r="L51" s="16">
        <f t="shared" si="23"/>
        <v>2.979236662980389E-3</v>
      </c>
      <c r="M51" s="16">
        <f t="shared" si="23"/>
        <v>-4.0500127180276291E-3</v>
      </c>
      <c r="N51" s="16">
        <f t="shared" si="23"/>
        <v>8.3686045583841739E-4</v>
      </c>
      <c r="O51" s="16">
        <f t="shared" si="23"/>
        <v>4.9363145892433735E-4</v>
      </c>
      <c r="P51" s="16">
        <f t="shared" si="23"/>
        <v>-7.3208228604904058E-5</v>
      </c>
      <c r="Q51" s="16">
        <f t="shared" si="23"/>
        <v>1.7720766451745362E-4</v>
      </c>
      <c r="R51" s="16">
        <f t="shared" si="23"/>
        <v>-9.7875599398888902E-5</v>
      </c>
      <c r="S51" s="16">
        <f t="shared" si="23"/>
        <v>-5.7724490543720197E-4</v>
      </c>
      <c r="T51" s="16">
        <f t="shared" si="23"/>
        <v>7.9747819881026416E-4</v>
      </c>
    </row>
    <row r="52" spans="1:20" ht="15" x14ac:dyDescent="0.25">
      <c r="A52" s="1" t="s">
        <v>84</v>
      </c>
      <c r="B52" s="1" t="s">
        <v>10</v>
      </c>
      <c r="C52" s="38">
        <f>VLOOKUP($A$2,AR2008_Stats!$B$4:$O$15,AR2008_Stats!E$1,FALSE)</f>
        <v>360</v>
      </c>
    </row>
    <row r="53" spans="1:20" ht="15" x14ac:dyDescent="0.25">
      <c r="A53" s="1" t="s">
        <v>83</v>
      </c>
      <c r="B53" s="1" t="s">
        <v>10</v>
      </c>
      <c r="C53" s="74">
        <f>VLOOKUP($A$2,'[1]Total Existing Capacity'!$A$3:$J$14,5,FALSE)</f>
        <v>384</v>
      </c>
    </row>
    <row r="55" spans="1:20" x14ac:dyDescent="0.2">
      <c r="A55" s="3" t="s">
        <v>71</v>
      </c>
    </row>
    <row r="56" spans="1:20" x14ac:dyDescent="0.2">
      <c r="A56" s="2" t="s">
        <v>72</v>
      </c>
    </row>
    <row r="57" spans="1:20" x14ac:dyDescent="0.2">
      <c r="A57" s="2" t="s">
        <v>73</v>
      </c>
    </row>
    <row r="59" spans="1:20" x14ac:dyDescent="0.2">
      <c r="A59" s="3" t="s">
        <v>80</v>
      </c>
    </row>
    <row r="60" spans="1:20" ht="15" x14ac:dyDescent="0.25">
      <c r="A60" t="s">
        <v>13</v>
      </c>
      <c r="B60" s="2" t="s">
        <v>97</v>
      </c>
    </row>
    <row r="61" spans="1:20" ht="15" x14ac:dyDescent="0.25">
      <c r="A61" t="s">
        <v>14</v>
      </c>
      <c r="B61" s="2" t="s">
        <v>98</v>
      </c>
    </row>
    <row r="62" spans="1:20" ht="15" x14ac:dyDescent="0.25">
      <c r="A62" t="s">
        <v>15</v>
      </c>
      <c r="B62" s="2" t="s">
        <v>32</v>
      </c>
    </row>
    <row r="63" spans="1:20" ht="15" x14ac:dyDescent="0.25">
      <c r="A63" t="s">
        <v>16</v>
      </c>
      <c r="B63" s="2" t="s">
        <v>99</v>
      </c>
    </row>
    <row r="64" spans="1:20" ht="15" x14ac:dyDescent="0.25">
      <c r="A64" t="s">
        <v>17</v>
      </c>
      <c r="B64" s="2" t="s">
        <v>100</v>
      </c>
    </row>
    <row r="65" spans="1:2" ht="15" x14ac:dyDescent="0.25">
      <c r="A65" t="s">
        <v>18</v>
      </c>
      <c r="B65" s="2" t="s">
        <v>101</v>
      </c>
    </row>
    <row r="66" spans="1:2" ht="15" x14ac:dyDescent="0.25">
      <c r="A66" t="s">
        <v>19</v>
      </c>
      <c r="B66" s="2" t="s">
        <v>102</v>
      </c>
    </row>
    <row r="67" spans="1:2" ht="15" x14ac:dyDescent="0.25">
      <c r="A67" t="s">
        <v>21</v>
      </c>
      <c r="B67" s="2" t="s">
        <v>103</v>
      </c>
    </row>
    <row r="68" spans="1:2" ht="15" x14ac:dyDescent="0.25">
      <c r="A68" t="s">
        <v>22</v>
      </c>
      <c r="B68" s="2" t="s">
        <v>104</v>
      </c>
    </row>
    <row r="69" spans="1:2" ht="15" x14ac:dyDescent="0.25">
      <c r="A69" t="s">
        <v>23</v>
      </c>
      <c r="B69" s="2" t="s">
        <v>105</v>
      </c>
    </row>
    <row r="70" spans="1:2" ht="15" x14ac:dyDescent="0.25">
      <c r="A70" t="s">
        <v>24</v>
      </c>
      <c r="B70" s="2" t="s">
        <v>106</v>
      </c>
    </row>
    <row r="71" spans="1:2" ht="15" x14ac:dyDescent="0.25">
      <c r="A71" t="s">
        <v>20</v>
      </c>
      <c r="B71" s="2" t="s">
        <v>107</v>
      </c>
    </row>
  </sheetData>
  <dataValidations count="4">
    <dataValidation type="list" allowBlank="1" showInputMessage="1" showErrorMessage="1" sqref="B18">
      <formula1>$B$60:$B$71</formula1>
    </dataValidation>
    <dataValidation type="list" allowBlank="1" showInputMessage="1" showErrorMessage="1" sqref="B13:B17">
      <formula1>$B$60:$B$72</formula1>
    </dataValidation>
    <dataValidation type="list" allowBlank="1" showInputMessage="1" showErrorMessage="1" sqref="B3">
      <formula1>$A$56:$A$57</formula1>
    </dataValidation>
    <dataValidation type="list" allowBlank="1" showInputMessage="1" showErrorMessage="1" sqref="A2">
      <formula1>$A$60:$A$71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D72"/>
  <sheetViews>
    <sheetView workbookViewId="0"/>
  </sheetViews>
  <sheetFormatPr defaultRowHeight="12.75" x14ac:dyDescent="0.2"/>
  <cols>
    <col min="1" max="1" width="66.140625" style="2" customWidth="1"/>
    <col min="2" max="2" width="9.140625" style="2"/>
    <col min="3" max="3" width="12.5703125" style="2" bestFit="1" customWidth="1"/>
    <col min="4" max="26" width="11.28515625" style="2" bestFit="1" customWidth="1"/>
    <col min="27" max="27" width="9.85546875" style="2" customWidth="1"/>
    <col min="28" max="253" width="9.140625" style="2"/>
    <col min="254" max="254" width="66.140625" style="2" customWidth="1"/>
    <col min="255" max="257" width="9.140625" style="2"/>
    <col min="258" max="258" width="9.7109375" style="2" customWidth="1"/>
    <col min="259" max="282" width="11.28515625" style="2" bestFit="1" customWidth="1"/>
    <col min="283" max="509" width="9.140625" style="2"/>
    <col min="510" max="510" width="66.140625" style="2" customWidth="1"/>
    <col min="511" max="513" width="9.140625" style="2"/>
    <col min="514" max="514" width="9.7109375" style="2" customWidth="1"/>
    <col min="515" max="538" width="11.28515625" style="2" bestFit="1" customWidth="1"/>
    <col min="539" max="765" width="9.140625" style="2"/>
    <col min="766" max="766" width="66.140625" style="2" customWidth="1"/>
    <col min="767" max="769" width="9.140625" style="2"/>
    <col min="770" max="770" width="9.7109375" style="2" customWidth="1"/>
    <col min="771" max="794" width="11.28515625" style="2" bestFit="1" customWidth="1"/>
    <col min="795" max="1021" width="9.140625" style="2"/>
    <col min="1022" max="1022" width="66.140625" style="2" customWidth="1"/>
    <col min="1023" max="1025" width="9.140625" style="2"/>
    <col min="1026" max="1026" width="9.7109375" style="2" customWidth="1"/>
    <col min="1027" max="1050" width="11.28515625" style="2" bestFit="1" customWidth="1"/>
    <col min="1051" max="1277" width="9.140625" style="2"/>
    <col min="1278" max="1278" width="66.140625" style="2" customWidth="1"/>
    <col min="1279" max="1281" width="9.140625" style="2"/>
    <col min="1282" max="1282" width="9.7109375" style="2" customWidth="1"/>
    <col min="1283" max="1306" width="11.28515625" style="2" bestFit="1" customWidth="1"/>
    <col min="1307" max="1533" width="9.140625" style="2"/>
    <col min="1534" max="1534" width="66.140625" style="2" customWidth="1"/>
    <col min="1535" max="1537" width="9.140625" style="2"/>
    <col min="1538" max="1538" width="9.7109375" style="2" customWidth="1"/>
    <col min="1539" max="1562" width="11.28515625" style="2" bestFit="1" customWidth="1"/>
    <col min="1563" max="1789" width="9.140625" style="2"/>
    <col min="1790" max="1790" width="66.140625" style="2" customWidth="1"/>
    <col min="1791" max="1793" width="9.140625" style="2"/>
    <col min="1794" max="1794" width="9.7109375" style="2" customWidth="1"/>
    <col min="1795" max="1818" width="11.28515625" style="2" bestFit="1" customWidth="1"/>
    <col min="1819" max="2045" width="9.140625" style="2"/>
    <col min="2046" max="2046" width="66.140625" style="2" customWidth="1"/>
    <col min="2047" max="2049" width="9.140625" style="2"/>
    <col min="2050" max="2050" width="9.7109375" style="2" customWidth="1"/>
    <col min="2051" max="2074" width="11.28515625" style="2" bestFit="1" customWidth="1"/>
    <col min="2075" max="2301" width="9.140625" style="2"/>
    <col min="2302" max="2302" width="66.140625" style="2" customWidth="1"/>
    <col min="2303" max="2305" width="9.140625" style="2"/>
    <col min="2306" max="2306" width="9.7109375" style="2" customWidth="1"/>
    <col min="2307" max="2330" width="11.28515625" style="2" bestFit="1" customWidth="1"/>
    <col min="2331" max="2557" width="9.140625" style="2"/>
    <col min="2558" max="2558" width="66.140625" style="2" customWidth="1"/>
    <col min="2559" max="2561" width="9.140625" style="2"/>
    <col min="2562" max="2562" width="9.7109375" style="2" customWidth="1"/>
    <col min="2563" max="2586" width="11.28515625" style="2" bestFit="1" customWidth="1"/>
    <col min="2587" max="2813" width="9.140625" style="2"/>
    <col min="2814" max="2814" width="66.140625" style="2" customWidth="1"/>
    <col min="2815" max="2817" width="9.140625" style="2"/>
    <col min="2818" max="2818" width="9.7109375" style="2" customWidth="1"/>
    <col min="2819" max="2842" width="11.28515625" style="2" bestFit="1" customWidth="1"/>
    <col min="2843" max="3069" width="9.140625" style="2"/>
    <col min="3070" max="3070" width="66.140625" style="2" customWidth="1"/>
    <col min="3071" max="3073" width="9.140625" style="2"/>
    <col min="3074" max="3074" width="9.7109375" style="2" customWidth="1"/>
    <col min="3075" max="3098" width="11.28515625" style="2" bestFit="1" customWidth="1"/>
    <col min="3099" max="3325" width="9.140625" style="2"/>
    <col min="3326" max="3326" width="66.140625" style="2" customWidth="1"/>
    <col min="3327" max="3329" width="9.140625" style="2"/>
    <col min="3330" max="3330" width="9.7109375" style="2" customWidth="1"/>
    <col min="3331" max="3354" width="11.28515625" style="2" bestFit="1" customWidth="1"/>
    <col min="3355" max="3581" width="9.140625" style="2"/>
    <col min="3582" max="3582" width="66.140625" style="2" customWidth="1"/>
    <col min="3583" max="3585" width="9.140625" style="2"/>
    <col min="3586" max="3586" width="9.7109375" style="2" customWidth="1"/>
    <col min="3587" max="3610" width="11.28515625" style="2" bestFit="1" customWidth="1"/>
    <col min="3611" max="3837" width="9.140625" style="2"/>
    <col min="3838" max="3838" width="66.140625" style="2" customWidth="1"/>
    <col min="3839" max="3841" width="9.140625" style="2"/>
    <col min="3842" max="3842" width="9.7109375" style="2" customWidth="1"/>
    <col min="3843" max="3866" width="11.28515625" style="2" bestFit="1" customWidth="1"/>
    <col min="3867" max="4093" width="9.140625" style="2"/>
    <col min="4094" max="4094" width="66.140625" style="2" customWidth="1"/>
    <col min="4095" max="4097" width="9.140625" style="2"/>
    <col min="4098" max="4098" width="9.7109375" style="2" customWidth="1"/>
    <col min="4099" max="4122" width="11.28515625" style="2" bestFit="1" customWidth="1"/>
    <col min="4123" max="4349" width="9.140625" style="2"/>
    <col min="4350" max="4350" width="66.140625" style="2" customWidth="1"/>
    <col min="4351" max="4353" width="9.140625" style="2"/>
    <col min="4354" max="4354" width="9.7109375" style="2" customWidth="1"/>
    <col min="4355" max="4378" width="11.28515625" style="2" bestFit="1" customWidth="1"/>
    <col min="4379" max="4605" width="9.140625" style="2"/>
    <col min="4606" max="4606" width="66.140625" style="2" customWidth="1"/>
    <col min="4607" max="4609" width="9.140625" style="2"/>
    <col min="4610" max="4610" width="9.7109375" style="2" customWidth="1"/>
    <col min="4611" max="4634" width="11.28515625" style="2" bestFit="1" customWidth="1"/>
    <col min="4635" max="4861" width="9.140625" style="2"/>
    <col min="4862" max="4862" width="66.140625" style="2" customWidth="1"/>
    <col min="4863" max="4865" width="9.140625" style="2"/>
    <col min="4866" max="4866" width="9.7109375" style="2" customWidth="1"/>
    <col min="4867" max="4890" width="11.28515625" style="2" bestFit="1" customWidth="1"/>
    <col min="4891" max="5117" width="9.140625" style="2"/>
    <col min="5118" max="5118" width="66.140625" style="2" customWidth="1"/>
    <col min="5119" max="5121" width="9.140625" style="2"/>
    <col min="5122" max="5122" width="9.7109375" style="2" customWidth="1"/>
    <col min="5123" max="5146" width="11.28515625" style="2" bestFit="1" customWidth="1"/>
    <col min="5147" max="5373" width="9.140625" style="2"/>
    <col min="5374" max="5374" width="66.140625" style="2" customWidth="1"/>
    <col min="5375" max="5377" width="9.140625" style="2"/>
    <col min="5378" max="5378" width="9.7109375" style="2" customWidth="1"/>
    <col min="5379" max="5402" width="11.28515625" style="2" bestFit="1" customWidth="1"/>
    <col min="5403" max="5629" width="9.140625" style="2"/>
    <col min="5630" max="5630" width="66.140625" style="2" customWidth="1"/>
    <col min="5631" max="5633" width="9.140625" style="2"/>
    <col min="5634" max="5634" width="9.7109375" style="2" customWidth="1"/>
    <col min="5635" max="5658" width="11.28515625" style="2" bestFit="1" customWidth="1"/>
    <col min="5659" max="5885" width="9.140625" style="2"/>
    <col min="5886" max="5886" width="66.140625" style="2" customWidth="1"/>
    <col min="5887" max="5889" width="9.140625" style="2"/>
    <col min="5890" max="5890" width="9.7109375" style="2" customWidth="1"/>
    <col min="5891" max="5914" width="11.28515625" style="2" bestFit="1" customWidth="1"/>
    <col min="5915" max="6141" width="9.140625" style="2"/>
    <col min="6142" max="6142" width="66.140625" style="2" customWidth="1"/>
    <col min="6143" max="6145" width="9.140625" style="2"/>
    <col min="6146" max="6146" width="9.7109375" style="2" customWidth="1"/>
    <col min="6147" max="6170" width="11.28515625" style="2" bestFit="1" customWidth="1"/>
    <col min="6171" max="6397" width="9.140625" style="2"/>
    <col min="6398" max="6398" width="66.140625" style="2" customWidth="1"/>
    <col min="6399" max="6401" width="9.140625" style="2"/>
    <col min="6402" max="6402" width="9.7109375" style="2" customWidth="1"/>
    <col min="6403" max="6426" width="11.28515625" style="2" bestFit="1" customWidth="1"/>
    <col min="6427" max="6653" width="9.140625" style="2"/>
    <col min="6654" max="6654" width="66.140625" style="2" customWidth="1"/>
    <col min="6655" max="6657" width="9.140625" style="2"/>
    <col min="6658" max="6658" width="9.7109375" style="2" customWidth="1"/>
    <col min="6659" max="6682" width="11.28515625" style="2" bestFit="1" customWidth="1"/>
    <col min="6683" max="6909" width="9.140625" style="2"/>
    <col min="6910" max="6910" width="66.140625" style="2" customWidth="1"/>
    <col min="6911" max="6913" width="9.140625" style="2"/>
    <col min="6914" max="6914" width="9.7109375" style="2" customWidth="1"/>
    <col min="6915" max="6938" width="11.28515625" style="2" bestFit="1" customWidth="1"/>
    <col min="6939" max="7165" width="9.140625" style="2"/>
    <col min="7166" max="7166" width="66.140625" style="2" customWidth="1"/>
    <col min="7167" max="7169" width="9.140625" style="2"/>
    <col min="7170" max="7170" width="9.7109375" style="2" customWidth="1"/>
    <col min="7171" max="7194" width="11.28515625" style="2" bestFit="1" customWidth="1"/>
    <col min="7195" max="7421" width="9.140625" style="2"/>
    <col min="7422" max="7422" width="66.140625" style="2" customWidth="1"/>
    <col min="7423" max="7425" width="9.140625" style="2"/>
    <col min="7426" max="7426" width="9.7109375" style="2" customWidth="1"/>
    <col min="7427" max="7450" width="11.28515625" style="2" bestFit="1" customWidth="1"/>
    <col min="7451" max="7677" width="9.140625" style="2"/>
    <col min="7678" max="7678" width="66.140625" style="2" customWidth="1"/>
    <col min="7679" max="7681" width="9.140625" style="2"/>
    <col min="7682" max="7682" width="9.7109375" style="2" customWidth="1"/>
    <col min="7683" max="7706" width="11.28515625" style="2" bestFit="1" customWidth="1"/>
    <col min="7707" max="7933" width="9.140625" style="2"/>
    <col min="7934" max="7934" width="66.140625" style="2" customWidth="1"/>
    <col min="7935" max="7937" width="9.140625" style="2"/>
    <col min="7938" max="7938" width="9.7109375" style="2" customWidth="1"/>
    <col min="7939" max="7962" width="11.28515625" style="2" bestFit="1" customWidth="1"/>
    <col min="7963" max="8189" width="9.140625" style="2"/>
    <col min="8190" max="8190" width="66.140625" style="2" customWidth="1"/>
    <col min="8191" max="8193" width="9.140625" style="2"/>
    <col min="8194" max="8194" width="9.7109375" style="2" customWidth="1"/>
    <col min="8195" max="8218" width="11.28515625" style="2" bestFit="1" customWidth="1"/>
    <col min="8219" max="8445" width="9.140625" style="2"/>
    <col min="8446" max="8446" width="66.140625" style="2" customWidth="1"/>
    <col min="8447" max="8449" width="9.140625" style="2"/>
    <col min="8450" max="8450" width="9.7109375" style="2" customWidth="1"/>
    <col min="8451" max="8474" width="11.28515625" style="2" bestFit="1" customWidth="1"/>
    <col min="8475" max="8701" width="9.140625" style="2"/>
    <col min="8702" max="8702" width="66.140625" style="2" customWidth="1"/>
    <col min="8703" max="8705" width="9.140625" style="2"/>
    <col min="8706" max="8706" width="9.7109375" style="2" customWidth="1"/>
    <col min="8707" max="8730" width="11.28515625" style="2" bestFit="1" customWidth="1"/>
    <col min="8731" max="8957" width="9.140625" style="2"/>
    <col min="8958" max="8958" width="66.140625" style="2" customWidth="1"/>
    <col min="8959" max="8961" width="9.140625" style="2"/>
    <col min="8962" max="8962" width="9.7109375" style="2" customWidth="1"/>
    <col min="8963" max="8986" width="11.28515625" style="2" bestFit="1" customWidth="1"/>
    <col min="8987" max="9213" width="9.140625" style="2"/>
    <col min="9214" max="9214" width="66.140625" style="2" customWidth="1"/>
    <col min="9215" max="9217" width="9.140625" style="2"/>
    <col min="9218" max="9218" width="9.7109375" style="2" customWidth="1"/>
    <col min="9219" max="9242" width="11.28515625" style="2" bestFit="1" customWidth="1"/>
    <col min="9243" max="9469" width="9.140625" style="2"/>
    <col min="9470" max="9470" width="66.140625" style="2" customWidth="1"/>
    <col min="9471" max="9473" width="9.140625" style="2"/>
    <col min="9474" max="9474" width="9.7109375" style="2" customWidth="1"/>
    <col min="9475" max="9498" width="11.28515625" style="2" bestFit="1" customWidth="1"/>
    <col min="9499" max="9725" width="9.140625" style="2"/>
    <col min="9726" max="9726" width="66.140625" style="2" customWidth="1"/>
    <col min="9727" max="9729" width="9.140625" style="2"/>
    <col min="9730" max="9730" width="9.7109375" style="2" customWidth="1"/>
    <col min="9731" max="9754" width="11.28515625" style="2" bestFit="1" customWidth="1"/>
    <col min="9755" max="9981" width="9.140625" style="2"/>
    <col min="9982" max="9982" width="66.140625" style="2" customWidth="1"/>
    <col min="9983" max="9985" width="9.140625" style="2"/>
    <col min="9986" max="9986" width="9.7109375" style="2" customWidth="1"/>
    <col min="9987" max="10010" width="11.28515625" style="2" bestFit="1" customWidth="1"/>
    <col min="10011" max="10237" width="9.140625" style="2"/>
    <col min="10238" max="10238" width="66.140625" style="2" customWidth="1"/>
    <col min="10239" max="10241" width="9.140625" style="2"/>
    <col min="10242" max="10242" width="9.7109375" style="2" customWidth="1"/>
    <col min="10243" max="10266" width="11.28515625" style="2" bestFit="1" customWidth="1"/>
    <col min="10267" max="10493" width="9.140625" style="2"/>
    <col min="10494" max="10494" width="66.140625" style="2" customWidth="1"/>
    <col min="10495" max="10497" width="9.140625" style="2"/>
    <col min="10498" max="10498" width="9.7109375" style="2" customWidth="1"/>
    <col min="10499" max="10522" width="11.28515625" style="2" bestFit="1" customWidth="1"/>
    <col min="10523" max="10749" width="9.140625" style="2"/>
    <col min="10750" max="10750" width="66.140625" style="2" customWidth="1"/>
    <col min="10751" max="10753" width="9.140625" style="2"/>
    <col min="10754" max="10754" width="9.7109375" style="2" customWidth="1"/>
    <col min="10755" max="10778" width="11.28515625" style="2" bestFit="1" customWidth="1"/>
    <col min="10779" max="11005" width="9.140625" style="2"/>
    <col min="11006" max="11006" width="66.140625" style="2" customWidth="1"/>
    <col min="11007" max="11009" width="9.140625" style="2"/>
    <col min="11010" max="11010" width="9.7109375" style="2" customWidth="1"/>
    <col min="11011" max="11034" width="11.28515625" style="2" bestFit="1" customWidth="1"/>
    <col min="11035" max="11261" width="9.140625" style="2"/>
    <col min="11262" max="11262" width="66.140625" style="2" customWidth="1"/>
    <col min="11263" max="11265" width="9.140625" style="2"/>
    <col min="11266" max="11266" width="9.7109375" style="2" customWidth="1"/>
    <col min="11267" max="11290" width="11.28515625" style="2" bestFit="1" customWidth="1"/>
    <col min="11291" max="11517" width="9.140625" style="2"/>
    <col min="11518" max="11518" width="66.140625" style="2" customWidth="1"/>
    <col min="11519" max="11521" width="9.140625" style="2"/>
    <col min="11522" max="11522" width="9.7109375" style="2" customWidth="1"/>
    <col min="11523" max="11546" width="11.28515625" style="2" bestFit="1" customWidth="1"/>
    <col min="11547" max="11773" width="9.140625" style="2"/>
    <col min="11774" max="11774" width="66.140625" style="2" customWidth="1"/>
    <col min="11775" max="11777" width="9.140625" style="2"/>
    <col min="11778" max="11778" width="9.7109375" style="2" customWidth="1"/>
    <col min="11779" max="11802" width="11.28515625" style="2" bestFit="1" customWidth="1"/>
    <col min="11803" max="12029" width="9.140625" style="2"/>
    <col min="12030" max="12030" width="66.140625" style="2" customWidth="1"/>
    <col min="12031" max="12033" width="9.140625" style="2"/>
    <col min="12034" max="12034" width="9.7109375" style="2" customWidth="1"/>
    <col min="12035" max="12058" width="11.28515625" style="2" bestFit="1" customWidth="1"/>
    <col min="12059" max="12285" width="9.140625" style="2"/>
    <col min="12286" max="12286" width="66.140625" style="2" customWidth="1"/>
    <col min="12287" max="12289" width="9.140625" style="2"/>
    <col min="12290" max="12290" width="9.7109375" style="2" customWidth="1"/>
    <col min="12291" max="12314" width="11.28515625" style="2" bestFit="1" customWidth="1"/>
    <col min="12315" max="12541" width="9.140625" style="2"/>
    <col min="12542" max="12542" width="66.140625" style="2" customWidth="1"/>
    <col min="12543" max="12545" width="9.140625" style="2"/>
    <col min="12546" max="12546" width="9.7109375" style="2" customWidth="1"/>
    <col min="12547" max="12570" width="11.28515625" style="2" bestFit="1" customWidth="1"/>
    <col min="12571" max="12797" width="9.140625" style="2"/>
    <col min="12798" max="12798" width="66.140625" style="2" customWidth="1"/>
    <col min="12799" max="12801" width="9.140625" style="2"/>
    <col min="12802" max="12802" width="9.7109375" style="2" customWidth="1"/>
    <col min="12803" max="12826" width="11.28515625" style="2" bestFit="1" customWidth="1"/>
    <col min="12827" max="13053" width="9.140625" style="2"/>
    <col min="13054" max="13054" width="66.140625" style="2" customWidth="1"/>
    <col min="13055" max="13057" width="9.140625" style="2"/>
    <col min="13058" max="13058" width="9.7109375" style="2" customWidth="1"/>
    <col min="13059" max="13082" width="11.28515625" style="2" bestFit="1" customWidth="1"/>
    <col min="13083" max="13309" width="9.140625" style="2"/>
    <col min="13310" max="13310" width="66.140625" style="2" customWidth="1"/>
    <col min="13311" max="13313" width="9.140625" style="2"/>
    <col min="13314" max="13314" width="9.7109375" style="2" customWidth="1"/>
    <col min="13315" max="13338" width="11.28515625" style="2" bestFit="1" customWidth="1"/>
    <col min="13339" max="13565" width="9.140625" style="2"/>
    <col min="13566" max="13566" width="66.140625" style="2" customWidth="1"/>
    <col min="13567" max="13569" width="9.140625" style="2"/>
    <col min="13570" max="13570" width="9.7109375" style="2" customWidth="1"/>
    <col min="13571" max="13594" width="11.28515625" style="2" bestFit="1" customWidth="1"/>
    <col min="13595" max="13821" width="9.140625" style="2"/>
    <col min="13822" max="13822" width="66.140625" style="2" customWidth="1"/>
    <col min="13823" max="13825" width="9.140625" style="2"/>
    <col min="13826" max="13826" width="9.7109375" style="2" customWidth="1"/>
    <col min="13827" max="13850" width="11.28515625" style="2" bestFit="1" customWidth="1"/>
    <col min="13851" max="14077" width="9.140625" style="2"/>
    <col min="14078" max="14078" width="66.140625" style="2" customWidth="1"/>
    <col min="14079" max="14081" width="9.140625" style="2"/>
    <col min="14082" max="14082" width="9.7109375" style="2" customWidth="1"/>
    <col min="14083" max="14106" width="11.28515625" style="2" bestFit="1" customWidth="1"/>
    <col min="14107" max="14333" width="9.140625" style="2"/>
    <col min="14334" max="14334" width="66.140625" style="2" customWidth="1"/>
    <col min="14335" max="14337" width="9.140625" style="2"/>
    <col min="14338" max="14338" width="9.7109375" style="2" customWidth="1"/>
    <col min="14339" max="14362" width="11.28515625" style="2" bestFit="1" customWidth="1"/>
    <col min="14363" max="14589" width="9.140625" style="2"/>
    <col min="14590" max="14590" width="66.140625" style="2" customWidth="1"/>
    <col min="14591" max="14593" width="9.140625" style="2"/>
    <col min="14594" max="14594" width="9.7109375" style="2" customWidth="1"/>
    <col min="14595" max="14618" width="11.28515625" style="2" bestFit="1" customWidth="1"/>
    <col min="14619" max="14845" width="9.140625" style="2"/>
    <col min="14846" max="14846" width="66.140625" style="2" customWidth="1"/>
    <col min="14847" max="14849" width="9.140625" style="2"/>
    <col min="14850" max="14850" width="9.7109375" style="2" customWidth="1"/>
    <col min="14851" max="14874" width="11.28515625" style="2" bestFit="1" customWidth="1"/>
    <col min="14875" max="15101" width="9.140625" style="2"/>
    <col min="15102" max="15102" width="66.140625" style="2" customWidth="1"/>
    <col min="15103" max="15105" width="9.140625" style="2"/>
    <col min="15106" max="15106" width="9.7109375" style="2" customWidth="1"/>
    <col min="15107" max="15130" width="11.28515625" style="2" bestFit="1" customWidth="1"/>
    <col min="15131" max="15357" width="9.140625" style="2"/>
    <col min="15358" max="15358" width="66.140625" style="2" customWidth="1"/>
    <col min="15359" max="15361" width="9.140625" style="2"/>
    <col min="15362" max="15362" width="9.7109375" style="2" customWidth="1"/>
    <col min="15363" max="15386" width="11.28515625" style="2" bestFit="1" customWidth="1"/>
    <col min="15387" max="15613" width="9.140625" style="2"/>
    <col min="15614" max="15614" width="66.140625" style="2" customWidth="1"/>
    <col min="15615" max="15617" width="9.140625" style="2"/>
    <col min="15618" max="15618" width="9.7109375" style="2" customWidth="1"/>
    <col min="15619" max="15642" width="11.28515625" style="2" bestFit="1" customWidth="1"/>
    <col min="15643" max="15869" width="9.140625" style="2"/>
    <col min="15870" max="15870" width="66.140625" style="2" customWidth="1"/>
    <col min="15871" max="15873" width="9.140625" style="2"/>
    <col min="15874" max="15874" width="9.7109375" style="2" customWidth="1"/>
    <col min="15875" max="15898" width="11.28515625" style="2" bestFit="1" customWidth="1"/>
    <col min="15899" max="16125" width="9.140625" style="2"/>
    <col min="16126" max="16126" width="66.140625" style="2" customWidth="1"/>
    <col min="16127" max="16129" width="9.140625" style="2"/>
    <col min="16130" max="16130" width="9.7109375" style="2" customWidth="1"/>
    <col min="16131" max="16154" width="11.28515625" style="2" bestFit="1" customWidth="1"/>
    <col min="16155" max="16384" width="9.140625" style="2"/>
  </cols>
  <sheetData>
    <row r="1" spans="1:30" ht="20.25" thickBot="1" x14ac:dyDescent="0.35">
      <c r="A1" s="20" t="s">
        <v>117</v>
      </c>
    </row>
    <row r="2" spans="1:30" ht="15.75" thickTop="1" x14ac:dyDescent="0.25">
      <c r="A2" s="21" t="s">
        <v>20</v>
      </c>
      <c r="B2" s="31" t="s">
        <v>107</v>
      </c>
      <c r="C2" s="1">
        <v>2007</v>
      </c>
      <c r="D2" s="1">
        <v>2008</v>
      </c>
      <c r="E2" s="1">
        <v>2009</v>
      </c>
      <c r="F2" s="1">
        <v>2010</v>
      </c>
      <c r="G2" s="1">
        <v>2011</v>
      </c>
      <c r="H2" s="1">
        <v>2012</v>
      </c>
      <c r="I2" s="1">
        <v>2013</v>
      </c>
      <c r="J2" s="1">
        <v>2014</v>
      </c>
      <c r="K2" s="1">
        <v>2015</v>
      </c>
      <c r="L2" s="1">
        <v>2016</v>
      </c>
      <c r="M2" s="1">
        <v>2017</v>
      </c>
      <c r="N2" s="1">
        <v>2018</v>
      </c>
      <c r="O2" s="1">
        <v>2019</v>
      </c>
      <c r="P2" s="1">
        <v>2020</v>
      </c>
      <c r="Q2" s="1">
        <v>2021</v>
      </c>
      <c r="R2" s="1">
        <v>2022</v>
      </c>
      <c r="S2" s="1">
        <v>2023</v>
      </c>
      <c r="T2" s="1">
        <v>2024</v>
      </c>
      <c r="U2" s="1">
        <v>2025</v>
      </c>
      <c r="V2" s="1">
        <v>2026</v>
      </c>
      <c r="W2" s="1">
        <v>2027</v>
      </c>
      <c r="X2" s="1">
        <v>2028</v>
      </c>
      <c r="Y2" s="1">
        <v>2029</v>
      </c>
      <c r="Z2" s="1">
        <v>2030</v>
      </c>
      <c r="AA2" s="1">
        <v>2031</v>
      </c>
      <c r="AB2" s="2">
        <v>2040</v>
      </c>
      <c r="AC2" s="2">
        <v>2050</v>
      </c>
      <c r="AD2" s="2">
        <v>2060</v>
      </c>
    </row>
    <row r="3" spans="1:30" ht="15" x14ac:dyDescent="0.25">
      <c r="A3" s="3" t="s">
        <v>0</v>
      </c>
      <c r="B3" s="31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0" ht="15" x14ac:dyDescent="0.25">
      <c r="A4" s="1" t="s">
        <v>38</v>
      </c>
      <c r="C4" s="24">
        <v>2.9555772110379408E-2</v>
      </c>
      <c r="D4" s="79">
        <v>1.0000000000000009E-2</v>
      </c>
      <c r="E4" s="79">
        <v>-1.7616252064128979E-2</v>
      </c>
      <c r="F4" s="79">
        <v>4.7646880639615086E-2</v>
      </c>
      <c r="G4" s="79">
        <v>2.8490098102696315E-2</v>
      </c>
      <c r="H4" s="79">
        <v>3.0575518203955543E-2</v>
      </c>
      <c r="I4" s="79">
        <v>3.6541838118619996E-2</v>
      </c>
      <c r="J4" s="79">
        <v>2.4560024908446554E-2</v>
      </c>
      <c r="K4" s="79">
        <v>3.5761575028761206E-2</v>
      </c>
      <c r="L4" s="79">
        <v>3.4292819744393022E-2</v>
      </c>
      <c r="M4" s="79">
        <v>3.5485973449683739E-2</v>
      </c>
      <c r="N4" s="79">
        <v>3.7929066449245763E-2</v>
      </c>
      <c r="O4" s="79">
        <v>3.8789649809115367E-2</v>
      </c>
      <c r="P4" s="79">
        <v>3.3176043557168855E-2</v>
      </c>
      <c r="Q4" s="79">
        <v>2.9663200299794079E-2</v>
      </c>
      <c r="R4" s="79">
        <v>2.6178561273812573E-2</v>
      </c>
      <c r="S4" s="79">
        <v>2.4607447347931632E-2</v>
      </c>
      <c r="T4" s="79">
        <v>2.4246324921306295E-2</v>
      </c>
      <c r="U4" s="79">
        <v>3.0304630446147174E-2</v>
      </c>
      <c r="V4" s="79">
        <v>2.799104122675744E-2</v>
      </c>
      <c r="W4" s="79">
        <v>2.7208934202490154E-2</v>
      </c>
      <c r="X4" s="79">
        <v>2.563884776858294E-2</v>
      </c>
      <c r="Y4" s="79">
        <v>2.1595466537319252E-2</v>
      </c>
      <c r="Z4" s="79">
        <v>1.961497306386395E-2</v>
      </c>
      <c r="AA4" s="4">
        <f>AB4</f>
        <v>2.3105666586594409E-2</v>
      </c>
      <c r="AB4" s="18">
        <f>SUMIF(PoolPlan_EnergyProj!$Q$1:$AB$1,B2,PoolPlan_EnergyProj!$Q$29:$AB$29)</f>
        <v>2.3105666586594409E-2</v>
      </c>
      <c r="AC4" s="18">
        <f>SUMIF(PoolPlan_EnergyProj!$Q$1:$AB$1,B2,PoolPlan_EnergyProj!$Q$30:$AB$30)</f>
        <v>2.4073783526283553E-2</v>
      </c>
      <c r="AD4" s="86">
        <v>0</v>
      </c>
    </row>
    <row r="5" spans="1:30" ht="15" x14ac:dyDescent="0.25">
      <c r="A5" s="1" t="s">
        <v>115</v>
      </c>
      <c r="B5" s="5" t="s">
        <v>1</v>
      </c>
      <c r="C5" s="6">
        <v>210289.52776952781</v>
      </c>
      <c r="D5" s="7">
        <f t="shared" ref="D5:AA5" si="0">C5*(1+D4)</f>
        <v>212392.4230472231</v>
      </c>
      <c r="E5" s="7">
        <f t="shared" si="0"/>
        <v>208650.86458631209</v>
      </c>
      <c r="F5" s="7">
        <f t="shared" si="0"/>
        <v>218592.4274266086</v>
      </c>
      <c r="G5" s="7">
        <f t="shared" si="0"/>
        <v>224820.1471284992</v>
      </c>
      <c r="H5" s="7">
        <f t="shared" si="0"/>
        <v>231694.1396296426</v>
      </c>
      <c r="I5" s="7">
        <f t="shared" si="0"/>
        <v>240160.66937302193</v>
      </c>
      <c r="J5" s="7">
        <f t="shared" si="0"/>
        <v>246059.02139485255</v>
      </c>
      <c r="K5" s="7">
        <f t="shared" si="0"/>
        <v>254858.47954996812</v>
      </c>
      <c r="L5" s="7">
        <f t="shared" si="0"/>
        <v>263598.29544950527</v>
      </c>
      <c r="M5" s="7">
        <f t="shared" si="0"/>
        <v>272952.3375632083</v>
      </c>
      <c r="N5" s="7">
        <f t="shared" si="0"/>
        <v>283305.16491212021</v>
      </c>
      <c r="O5" s="7">
        <f t="shared" si="0"/>
        <v>294294.47304817504</v>
      </c>
      <c r="P5" s="7">
        <f t="shared" si="0"/>
        <v>304057.99930465536</v>
      </c>
      <c r="Q5" s="7">
        <f t="shared" si="0"/>
        <v>313077.33264078398</v>
      </c>
      <c r="R5" s="7">
        <f t="shared" si="0"/>
        <v>321273.24677676253</v>
      </c>
      <c r="S5" s="7">
        <f t="shared" si="0"/>
        <v>329178.96128112078</v>
      </c>
      <c r="T5" s="7">
        <f t="shared" si="0"/>
        <v>337160.34133360093</v>
      </c>
      <c r="U5" s="7">
        <f t="shared" si="0"/>
        <v>347377.86087881256</v>
      </c>
      <c r="V5" s="7">
        <f t="shared" si="0"/>
        <v>357101.32890393422</v>
      </c>
      <c r="W5" s="7">
        <f t="shared" si="0"/>
        <v>366817.67546570319</v>
      </c>
      <c r="X5" s="7">
        <f t="shared" si="0"/>
        <v>376222.4580057938</v>
      </c>
      <c r="Y5" s="7">
        <f t="shared" si="0"/>
        <v>384347.1575082459</v>
      </c>
      <c r="Z5" s="7">
        <f t="shared" si="0"/>
        <v>391886.11664994282</v>
      </c>
      <c r="AA5" s="7">
        <f t="shared" si="0"/>
        <v>400940.90660117171</v>
      </c>
      <c r="AB5" s="7">
        <f>AA5*(1+AB4)^9</f>
        <v>492452.98993365496</v>
      </c>
      <c r="AC5" s="7">
        <f>AB5*(1+AC4)^10</f>
        <v>624708.27864775294</v>
      </c>
      <c r="AD5" s="7">
        <f>AC5*(1+AD4)^10</f>
        <v>624708.27864775294</v>
      </c>
    </row>
    <row r="6" spans="1:30" ht="15" x14ac:dyDescent="0.25">
      <c r="A6" s="3" t="s">
        <v>2</v>
      </c>
      <c r="B6" s="5"/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30" ht="15" x14ac:dyDescent="0.25">
      <c r="A7" s="1" t="s">
        <v>3</v>
      </c>
      <c r="C7" s="71">
        <v>0</v>
      </c>
      <c r="D7" s="33">
        <f t="shared" ref="D7:Y7" si="1">C7</f>
        <v>0</v>
      </c>
      <c r="E7" s="33">
        <f t="shared" si="1"/>
        <v>0</v>
      </c>
      <c r="F7" s="33">
        <f t="shared" si="1"/>
        <v>0</v>
      </c>
      <c r="G7" s="33">
        <f t="shared" si="1"/>
        <v>0</v>
      </c>
      <c r="H7" s="33">
        <f t="shared" si="1"/>
        <v>0</v>
      </c>
      <c r="I7" s="33">
        <f t="shared" si="1"/>
        <v>0</v>
      </c>
      <c r="J7" s="33">
        <f t="shared" si="1"/>
        <v>0</v>
      </c>
      <c r="K7" s="33">
        <f t="shared" si="1"/>
        <v>0</v>
      </c>
      <c r="L7" s="33">
        <f t="shared" si="1"/>
        <v>0</v>
      </c>
      <c r="M7" s="33">
        <f t="shared" si="1"/>
        <v>0</v>
      </c>
      <c r="N7" s="33">
        <f t="shared" si="1"/>
        <v>0</v>
      </c>
      <c r="O7" s="33">
        <f t="shared" si="1"/>
        <v>0</v>
      </c>
      <c r="P7" s="33">
        <f t="shared" si="1"/>
        <v>0</v>
      </c>
      <c r="Q7" s="33">
        <f t="shared" si="1"/>
        <v>0</v>
      </c>
      <c r="R7" s="33">
        <f t="shared" si="1"/>
        <v>0</v>
      </c>
      <c r="S7" s="33">
        <f t="shared" si="1"/>
        <v>0</v>
      </c>
      <c r="T7" s="33">
        <f t="shared" si="1"/>
        <v>0</v>
      </c>
      <c r="U7" s="33">
        <f t="shared" si="1"/>
        <v>0</v>
      </c>
      <c r="V7" s="33">
        <f t="shared" si="1"/>
        <v>0</v>
      </c>
      <c r="W7" s="33">
        <f t="shared" si="1"/>
        <v>0</v>
      </c>
      <c r="X7" s="33">
        <f t="shared" si="1"/>
        <v>0</v>
      </c>
      <c r="Y7" s="33">
        <f t="shared" si="1"/>
        <v>0</v>
      </c>
      <c r="Z7" s="33">
        <f>Y7</f>
        <v>0</v>
      </c>
      <c r="AA7" s="33">
        <f t="shared" ref="AA7:AC7" si="2">Z7</f>
        <v>0</v>
      </c>
      <c r="AB7" s="33">
        <f t="shared" si="2"/>
        <v>0</v>
      </c>
      <c r="AC7" s="33">
        <f t="shared" si="2"/>
        <v>0</v>
      </c>
    </row>
    <row r="8" spans="1:30" ht="15" x14ac:dyDescent="0.25">
      <c r="A8" s="1" t="s">
        <v>96</v>
      </c>
      <c r="B8" s="5" t="s">
        <v>1</v>
      </c>
      <c r="C8" s="8">
        <f t="shared" ref="C8:AC8" si="3">C5/(1-C7)</f>
        <v>210289.52776952781</v>
      </c>
      <c r="D8" s="8">
        <f t="shared" si="3"/>
        <v>212392.4230472231</v>
      </c>
      <c r="E8" s="8">
        <f t="shared" si="3"/>
        <v>208650.86458631209</v>
      </c>
      <c r="F8" s="8">
        <f t="shared" si="3"/>
        <v>218592.4274266086</v>
      </c>
      <c r="G8" s="8">
        <f t="shared" si="3"/>
        <v>224820.1471284992</v>
      </c>
      <c r="H8" s="8">
        <f t="shared" si="3"/>
        <v>231694.1396296426</v>
      </c>
      <c r="I8" s="8">
        <f t="shared" si="3"/>
        <v>240160.66937302193</v>
      </c>
      <c r="J8" s="8">
        <f t="shared" si="3"/>
        <v>246059.02139485255</v>
      </c>
      <c r="K8" s="8">
        <f t="shared" si="3"/>
        <v>254858.47954996812</v>
      </c>
      <c r="L8" s="8">
        <f t="shared" si="3"/>
        <v>263598.29544950527</v>
      </c>
      <c r="M8" s="8">
        <f t="shared" si="3"/>
        <v>272952.3375632083</v>
      </c>
      <c r="N8" s="8">
        <f t="shared" si="3"/>
        <v>283305.16491212021</v>
      </c>
      <c r="O8" s="8">
        <f t="shared" si="3"/>
        <v>294294.47304817504</v>
      </c>
      <c r="P8" s="8">
        <f t="shared" si="3"/>
        <v>304057.99930465536</v>
      </c>
      <c r="Q8" s="8">
        <f t="shared" si="3"/>
        <v>313077.33264078398</v>
      </c>
      <c r="R8" s="8">
        <f t="shared" si="3"/>
        <v>321273.24677676253</v>
      </c>
      <c r="S8" s="8">
        <f t="shared" si="3"/>
        <v>329178.96128112078</v>
      </c>
      <c r="T8" s="8">
        <f t="shared" si="3"/>
        <v>337160.34133360093</v>
      </c>
      <c r="U8" s="8">
        <f t="shared" si="3"/>
        <v>347377.86087881256</v>
      </c>
      <c r="V8" s="8">
        <f t="shared" si="3"/>
        <v>357101.32890393422</v>
      </c>
      <c r="W8" s="8">
        <f t="shared" si="3"/>
        <v>366817.67546570319</v>
      </c>
      <c r="X8" s="8">
        <f t="shared" si="3"/>
        <v>376222.4580057938</v>
      </c>
      <c r="Y8" s="8">
        <f t="shared" si="3"/>
        <v>384347.1575082459</v>
      </c>
      <c r="Z8" s="8">
        <f t="shared" si="3"/>
        <v>391886.11664994282</v>
      </c>
      <c r="AA8" s="8">
        <f t="shared" si="3"/>
        <v>400940.90660117171</v>
      </c>
      <c r="AB8" s="8">
        <f t="shared" si="3"/>
        <v>492452.98993365496</v>
      </c>
      <c r="AC8" s="8">
        <f t="shared" si="3"/>
        <v>624708.27864775294</v>
      </c>
    </row>
    <row r="9" spans="1:30" ht="15" x14ac:dyDescent="0.25">
      <c r="A9" s="3" t="s">
        <v>4</v>
      </c>
      <c r="B9" s="5"/>
      <c r="C9" s="81">
        <f>(1-C10)</f>
        <v>0.89</v>
      </c>
      <c r="D9" s="11">
        <f>23601*8.76/(0.758*8.76)</f>
        <v>31135.883905013194</v>
      </c>
      <c r="E9" s="11">
        <f>D9/(1-C7)</f>
        <v>31135.883905013194</v>
      </c>
      <c r="F9" s="8">
        <f>E9/C9</f>
        <v>34984.139219115947</v>
      </c>
      <c r="G9" s="8">
        <f>1613</f>
        <v>1613</v>
      </c>
      <c r="H9" s="8">
        <f>G9/C9</f>
        <v>1812.3595505617977</v>
      </c>
      <c r="I9" s="8">
        <f>H9+F9</f>
        <v>36796.498769677746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30" ht="15" x14ac:dyDescent="0.25">
      <c r="A10" s="1" t="s">
        <v>5</v>
      </c>
      <c r="C10" s="26">
        <v>0.11</v>
      </c>
      <c r="D10" s="32">
        <f>C10</f>
        <v>0.11</v>
      </c>
      <c r="E10" s="32">
        <f t="shared" ref="E10:AC10" si="4">D10</f>
        <v>0.11</v>
      </c>
      <c r="F10" s="32">
        <f t="shared" si="4"/>
        <v>0.11</v>
      </c>
      <c r="G10" s="32">
        <f t="shared" si="4"/>
        <v>0.11</v>
      </c>
      <c r="H10" s="32">
        <f t="shared" si="4"/>
        <v>0.11</v>
      </c>
      <c r="I10" s="32">
        <f t="shared" si="4"/>
        <v>0.11</v>
      </c>
      <c r="J10" s="32">
        <f t="shared" si="4"/>
        <v>0.11</v>
      </c>
      <c r="K10" s="32">
        <f t="shared" si="4"/>
        <v>0.11</v>
      </c>
      <c r="L10" s="32">
        <f t="shared" si="4"/>
        <v>0.11</v>
      </c>
      <c r="M10" s="32">
        <f t="shared" si="4"/>
        <v>0.11</v>
      </c>
      <c r="N10" s="32">
        <f t="shared" si="4"/>
        <v>0.11</v>
      </c>
      <c r="O10" s="32">
        <f t="shared" si="4"/>
        <v>0.11</v>
      </c>
      <c r="P10" s="32">
        <f t="shared" si="4"/>
        <v>0.11</v>
      </c>
      <c r="Q10" s="32">
        <f t="shared" si="4"/>
        <v>0.11</v>
      </c>
      <c r="R10" s="32">
        <f t="shared" si="4"/>
        <v>0.11</v>
      </c>
      <c r="S10" s="32">
        <f t="shared" si="4"/>
        <v>0.11</v>
      </c>
      <c r="T10" s="32">
        <f t="shared" si="4"/>
        <v>0.11</v>
      </c>
      <c r="U10" s="32">
        <f t="shared" si="4"/>
        <v>0.11</v>
      </c>
      <c r="V10" s="32">
        <f t="shared" si="4"/>
        <v>0.11</v>
      </c>
      <c r="W10" s="32">
        <f t="shared" si="4"/>
        <v>0.11</v>
      </c>
      <c r="X10" s="32">
        <f t="shared" si="4"/>
        <v>0.11</v>
      </c>
      <c r="Y10" s="32">
        <f t="shared" si="4"/>
        <v>0.11</v>
      </c>
      <c r="Z10" s="32">
        <f t="shared" si="4"/>
        <v>0.11</v>
      </c>
      <c r="AA10" s="32">
        <f t="shared" si="4"/>
        <v>0.11</v>
      </c>
      <c r="AB10" s="32">
        <f t="shared" si="4"/>
        <v>0.11</v>
      </c>
      <c r="AC10" s="32">
        <f t="shared" si="4"/>
        <v>0.11</v>
      </c>
    </row>
    <row r="11" spans="1:30" ht="15" x14ac:dyDescent="0.25">
      <c r="A11" s="1" t="s">
        <v>95</v>
      </c>
      <c r="B11" s="5" t="s">
        <v>1</v>
      </c>
      <c r="C11" s="8">
        <f t="shared" ref="C11:AC11" si="5">C8/(1-C10)</f>
        <v>236280.3682803683</v>
      </c>
      <c r="D11" s="8">
        <f t="shared" si="5"/>
        <v>238643.171963172</v>
      </c>
      <c r="E11" s="8">
        <f t="shared" si="5"/>
        <v>234439.17369248549</v>
      </c>
      <c r="F11" s="8">
        <f t="shared" si="5"/>
        <v>245609.46901866133</v>
      </c>
      <c r="G11" s="8">
        <f t="shared" si="5"/>
        <v>252606.90688595414</v>
      </c>
      <c r="H11" s="8">
        <f t="shared" si="5"/>
        <v>260330.49396589055</v>
      </c>
      <c r="I11" s="8">
        <f t="shared" si="5"/>
        <v>269843.44873373251</v>
      </c>
      <c r="J11" s="8">
        <f t="shared" si="5"/>
        <v>276470.81055601407</v>
      </c>
      <c r="K11" s="8">
        <f t="shared" si="5"/>
        <v>286357.84219097544</v>
      </c>
      <c r="L11" s="8">
        <f t="shared" si="5"/>
        <v>296177.86005562387</v>
      </c>
      <c r="M11" s="8">
        <f t="shared" si="5"/>
        <v>306688.01973394194</v>
      </c>
      <c r="N11" s="8">
        <f t="shared" si="5"/>
        <v>318320.41001361818</v>
      </c>
      <c r="O11" s="8">
        <f t="shared" si="5"/>
        <v>330667.9472451405</v>
      </c>
      <c r="P11" s="8">
        <f t="shared" si="5"/>
        <v>341638.20146590489</v>
      </c>
      <c r="Q11" s="8">
        <f t="shared" si="5"/>
        <v>351772.28386604943</v>
      </c>
      <c r="R11" s="8">
        <f t="shared" si="5"/>
        <v>360981.17615366576</v>
      </c>
      <c r="S11" s="8">
        <f t="shared" si="5"/>
        <v>369864.00143946154</v>
      </c>
      <c r="T11" s="8">
        <f t="shared" si="5"/>
        <v>378831.84419505723</v>
      </c>
      <c r="U11" s="8">
        <f t="shared" si="5"/>
        <v>390312.20323462086</v>
      </c>
      <c r="V11" s="8">
        <f t="shared" si="5"/>
        <v>401237.44820666767</v>
      </c>
      <c r="W11" s="8">
        <f t="shared" si="5"/>
        <v>412154.69153449795</v>
      </c>
      <c r="X11" s="8">
        <f t="shared" si="5"/>
        <v>422721.86292785819</v>
      </c>
      <c r="Y11" s="8">
        <f t="shared" si="5"/>
        <v>431850.73877330997</v>
      </c>
      <c r="Z11" s="8">
        <f t="shared" si="5"/>
        <v>440321.4793819582</v>
      </c>
      <c r="AA11" s="8">
        <f t="shared" si="5"/>
        <v>450495.40067547385</v>
      </c>
      <c r="AB11" s="8">
        <f t="shared" si="5"/>
        <v>553317.9662175898</v>
      </c>
      <c r="AC11" s="8">
        <f t="shared" si="5"/>
        <v>701919.41421095841</v>
      </c>
    </row>
    <row r="12" spans="1:30" x14ac:dyDescent="0.2">
      <c r="A12" s="3" t="s">
        <v>6</v>
      </c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B12" s="2" t="s">
        <v>123</v>
      </c>
    </row>
    <row r="13" spans="1:30" ht="15" x14ac:dyDescent="0.25">
      <c r="A13" s="5" t="s">
        <v>108</v>
      </c>
      <c r="B13" s="5" t="s">
        <v>98</v>
      </c>
      <c r="C13" s="6">
        <f>VLOOKUP($A$2,AR2008_Stats!$B$4:$O$15,AR2008_Stats!L$1,FALSE)*2181/14022</f>
        <v>2197.1762943945228</v>
      </c>
      <c r="D13" s="64">
        <f>C13</f>
        <v>2197.1762943945228</v>
      </c>
      <c r="E13" s="64">
        <f t="shared" ref="E13:T15" si="6">D13</f>
        <v>2197.1762943945228</v>
      </c>
      <c r="F13" s="64">
        <f t="shared" si="6"/>
        <v>2197.1762943945228</v>
      </c>
      <c r="G13" s="64">
        <f t="shared" si="6"/>
        <v>2197.1762943945228</v>
      </c>
      <c r="H13" s="64">
        <f t="shared" si="6"/>
        <v>2197.1762943945228</v>
      </c>
      <c r="I13" s="64">
        <f t="shared" si="6"/>
        <v>2197.1762943945228</v>
      </c>
      <c r="J13" s="64">
        <f t="shared" si="6"/>
        <v>2197.1762943945228</v>
      </c>
      <c r="K13" s="64">
        <f t="shared" si="6"/>
        <v>2197.1762943945228</v>
      </c>
      <c r="L13" s="64">
        <f t="shared" si="6"/>
        <v>2197.1762943945228</v>
      </c>
      <c r="M13" s="64">
        <f t="shared" si="6"/>
        <v>2197.1762943945228</v>
      </c>
      <c r="N13" s="64">
        <f t="shared" si="6"/>
        <v>2197.1762943945228</v>
      </c>
      <c r="O13" s="64">
        <f t="shared" si="6"/>
        <v>2197.1762943945228</v>
      </c>
      <c r="P13" s="64">
        <f t="shared" si="6"/>
        <v>2197.1762943945228</v>
      </c>
      <c r="Q13" s="64">
        <f t="shared" si="6"/>
        <v>2197.1762943945228</v>
      </c>
      <c r="R13" s="64">
        <f t="shared" si="6"/>
        <v>2197.1762943945228</v>
      </c>
      <c r="S13" s="64">
        <f t="shared" si="6"/>
        <v>2197.1762943945228</v>
      </c>
      <c r="T13" s="64">
        <f t="shared" si="6"/>
        <v>2197.1762943945228</v>
      </c>
      <c r="U13" s="64">
        <f t="shared" ref="U13:AA15" si="7">T13</f>
        <v>2197.1762943945228</v>
      </c>
      <c r="V13" s="64">
        <f t="shared" si="7"/>
        <v>2197.1762943945228</v>
      </c>
      <c r="W13" s="64">
        <f t="shared" si="7"/>
        <v>2197.1762943945228</v>
      </c>
      <c r="X13" s="64">
        <f t="shared" si="7"/>
        <v>2197.1762943945228</v>
      </c>
      <c r="Y13" s="64">
        <f t="shared" si="7"/>
        <v>2197.1762943945228</v>
      </c>
      <c r="Z13" s="64">
        <f t="shared" si="7"/>
        <v>2197.1762943945228</v>
      </c>
      <c r="AA13" s="64">
        <f t="shared" si="7"/>
        <v>2197.1762943945228</v>
      </c>
      <c r="AB13" s="78">
        <f>AA13/($C$34*8.76)</f>
        <v>330.4749850119112</v>
      </c>
    </row>
    <row r="14" spans="1:30" ht="15" x14ac:dyDescent="0.25">
      <c r="A14" s="5" t="s">
        <v>109</v>
      </c>
      <c r="B14" s="5" t="s">
        <v>99</v>
      </c>
      <c r="C14" s="6">
        <f>VLOOKUP($A$2,AR2008_Stats!$B$4:$O$15,AR2008_Stats!L$1,FALSE)*50/14022</f>
        <v>50.370845813721296</v>
      </c>
      <c r="D14" s="64">
        <f>C14</f>
        <v>50.370845813721296</v>
      </c>
      <c r="E14" s="64">
        <f t="shared" si="6"/>
        <v>50.370845813721296</v>
      </c>
      <c r="F14" s="64">
        <f t="shared" si="6"/>
        <v>50.370845813721296</v>
      </c>
      <c r="G14" s="64">
        <f t="shared" si="6"/>
        <v>50.370845813721296</v>
      </c>
      <c r="H14" s="64">
        <f t="shared" si="6"/>
        <v>50.370845813721296</v>
      </c>
      <c r="I14" s="64">
        <f t="shared" si="6"/>
        <v>50.370845813721296</v>
      </c>
      <c r="J14" s="64">
        <f t="shared" si="6"/>
        <v>50.370845813721296</v>
      </c>
      <c r="K14" s="64">
        <f t="shared" si="6"/>
        <v>50.370845813721296</v>
      </c>
      <c r="L14" s="64">
        <f t="shared" si="6"/>
        <v>50.370845813721296</v>
      </c>
      <c r="M14" s="64">
        <f t="shared" si="6"/>
        <v>50.370845813721296</v>
      </c>
      <c r="N14" s="64">
        <f t="shared" si="6"/>
        <v>50.370845813721296</v>
      </c>
      <c r="O14" s="64">
        <f t="shared" si="6"/>
        <v>50.370845813721296</v>
      </c>
      <c r="P14" s="64">
        <f t="shared" si="6"/>
        <v>50.370845813721296</v>
      </c>
      <c r="Q14" s="64">
        <f t="shared" si="6"/>
        <v>50.370845813721296</v>
      </c>
      <c r="R14" s="64">
        <f t="shared" si="6"/>
        <v>50.370845813721296</v>
      </c>
      <c r="S14" s="64">
        <f t="shared" si="6"/>
        <v>50.370845813721296</v>
      </c>
      <c r="T14" s="64">
        <f t="shared" si="6"/>
        <v>50.370845813721296</v>
      </c>
      <c r="U14" s="64">
        <f t="shared" si="7"/>
        <v>50.370845813721296</v>
      </c>
      <c r="V14" s="64">
        <f t="shared" si="7"/>
        <v>50.370845813721296</v>
      </c>
      <c r="W14" s="64">
        <f t="shared" si="7"/>
        <v>50.370845813721296</v>
      </c>
      <c r="X14" s="64">
        <f t="shared" si="7"/>
        <v>50.370845813721296</v>
      </c>
      <c r="Y14" s="64">
        <f t="shared" si="7"/>
        <v>50.370845813721296</v>
      </c>
      <c r="Z14" s="64">
        <f t="shared" si="7"/>
        <v>50.370845813721296</v>
      </c>
      <c r="AA14" s="64">
        <f t="shared" si="7"/>
        <v>50.370845813721296</v>
      </c>
      <c r="AB14" s="78">
        <f t="shared" ref="AB14:AB18" si="8">AA14/($C$34*8.76)</f>
        <v>7.5762261579988825</v>
      </c>
    </row>
    <row r="15" spans="1:30" ht="15" x14ac:dyDescent="0.25">
      <c r="A15" s="5" t="s">
        <v>110</v>
      </c>
      <c r="B15" s="5" t="s">
        <v>102</v>
      </c>
      <c r="C15" s="6">
        <f>VLOOKUP($A$2,AR2008_Stats!$B$4:$O$15,AR2008_Stats!L$1,FALSE)*1632/14022</f>
        <v>1644.104407359863</v>
      </c>
      <c r="D15" s="64">
        <f>C15</f>
        <v>1644.104407359863</v>
      </c>
      <c r="E15" s="64">
        <f t="shared" si="6"/>
        <v>1644.104407359863</v>
      </c>
      <c r="F15" s="64">
        <f t="shared" si="6"/>
        <v>1644.104407359863</v>
      </c>
      <c r="G15" s="64">
        <f t="shared" si="6"/>
        <v>1644.104407359863</v>
      </c>
      <c r="H15" s="64">
        <f t="shared" si="6"/>
        <v>1644.104407359863</v>
      </c>
      <c r="I15" s="64">
        <f t="shared" si="6"/>
        <v>1644.104407359863</v>
      </c>
      <c r="J15" s="64">
        <f t="shared" si="6"/>
        <v>1644.104407359863</v>
      </c>
      <c r="K15" s="64">
        <f t="shared" si="6"/>
        <v>1644.104407359863</v>
      </c>
      <c r="L15" s="64">
        <f t="shared" si="6"/>
        <v>1644.104407359863</v>
      </c>
      <c r="M15" s="64">
        <f t="shared" si="6"/>
        <v>1644.104407359863</v>
      </c>
      <c r="N15" s="64">
        <f t="shared" si="6"/>
        <v>1644.104407359863</v>
      </c>
      <c r="O15" s="64">
        <f t="shared" si="6"/>
        <v>1644.104407359863</v>
      </c>
      <c r="P15" s="64">
        <f t="shared" si="6"/>
        <v>1644.104407359863</v>
      </c>
      <c r="Q15" s="64">
        <f t="shared" si="6"/>
        <v>1644.104407359863</v>
      </c>
      <c r="R15" s="64">
        <f t="shared" si="6"/>
        <v>1644.104407359863</v>
      </c>
      <c r="S15" s="64">
        <f t="shared" si="6"/>
        <v>1644.104407359863</v>
      </c>
      <c r="T15" s="64">
        <f t="shared" si="6"/>
        <v>1644.104407359863</v>
      </c>
      <c r="U15" s="64">
        <f t="shared" si="7"/>
        <v>1644.104407359863</v>
      </c>
      <c r="V15" s="64">
        <f t="shared" si="7"/>
        <v>1644.104407359863</v>
      </c>
      <c r="W15" s="64">
        <f t="shared" si="7"/>
        <v>1644.104407359863</v>
      </c>
      <c r="X15" s="64">
        <f t="shared" si="7"/>
        <v>1644.104407359863</v>
      </c>
      <c r="Y15" s="64">
        <f t="shared" si="7"/>
        <v>1644.104407359863</v>
      </c>
      <c r="Z15" s="64">
        <f t="shared" si="7"/>
        <v>1644.104407359863</v>
      </c>
      <c r="AA15" s="64">
        <f t="shared" si="7"/>
        <v>1644.104407359863</v>
      </c>
      <c r="AB15" s="78">
        <f t="shared" si="8"/>
        <v>247.2880217970835</v>
      </c>
    </row>
    <row r="16" spans="1:30" ht="15" x14ac:dyDescent="0.25">
      <c r="A16" s="5" t="s">
        <v>112</v>
      </c>
      <c r="B16" s="5" t="s">
        <v>101</v>
      </c>
      <c r="C16" s="6">
        <f>VLOOKUP($A$2,AR2008_Stats!$B$4:$O$15,AR2008_Stats!L$1,FALSE)*8435/14022</f>
        <v>8497.5616887747819</v>
      </c>
      <c r="D16" s="64">
        <f t="shared" ref="D16:D18" si="9">C16</f>
        <v>8497.5616887747819</v>
      </c>
      <c r="E16" s="64">
        <f t="shared" ref="E16:E17" si="10">D16</f>
        <v>8497.5616887747819</v>
      </c>
      <c r="F16" s="64">
        <f t="shared" ref="F16:F17" si="11">E16</f>
        <v>8497.5616887747819</v>
      </c>
      <c r="G16" s="64">
        <f t="shared" ref="G16:G17" si="12">F16</f>
        <v>8497.5616887747819</v>
      </c>
      <c r="H16" s="64">
        <f t="shared" ref="H16:H17" si="13">G16</f>
        <v>8497.5616887747819</v>
      </c>
      <c r="I16" s="64">
        <f t="shared" ref="I16:I17" si="14">H16</f>
        <v>8497.5616887747819</v>
      </c>
      <c r="J16" s="64">
        <f t="shared" ref="J16:J17" si="15">I16</f>
        <v>8497.5616887747819</v>
      </c>
      <c r="K16" s="64">
        <f t="shared" ref="K16:K17" si="16">J16</f>
        <v>8497.5616887747819</v>
      </c>
      <c r="L16" s="64">
        <f t="shared" ref="L16:L17" si="17">K16</f>
        <v>8497.5616887747819</v>
      </c>
      <c r="M16" s="64">
        <f t="shared" ref="M16:M17" si="18">L16</f>
        <v>8497.5616887747819</v>
      </c>
      <c r="N16" s="64">
        <f t="shared" ref="N16:N17" si="19">M16</f>
        <v>8497.5616887747819</v>
      </c>
      <c r="O16" s="64">
        <f t="shared" ref="O16:O17" si="20">N16</f>
        <v>8497.5616887747819</v>
      </c>
      <c r="P16" s="64">
        <f t="shared" ref="P16:P17" si="21">O16</f>
        <v>8497.5616887747819</v>
      </c>
      <c r="Q16" s="64">
        <f t="shared" ref="Q16:Q17" si="22">P16</f>
        <v>8497.5616887747819</v>
      </c>
      <c r="R16" s="64">
        <f t="shared" ref="R16:R17" si="23">Q16</f>
        <v>8497.5616887747819</v>
      </c>
      <c r="S16" s="64">
        <f t="shared" ref="S16:S17" si="24">R16</f>
        <v>8497.5616887747819</v>
      </c>
      <c r="T16" s="64">
        <f t="shared" ref="T16:T17" si="25">S16</f>
        <v>8497.5616887747819</v>
      </c>
      <c r="U16" s="64">
        <f t="shared" ref="U16:U17" si="26">T16</f>
        <v>8497.5616887747819</v>
      </c>
      <c r="V16" s="64">
        <f t="shared" ref="V16:V17" si="27">U16</f>
        <v>8497.5616887747819</v>
      </c>
      <c r="W16" s="64">
        <f t="shared" ref="W16:W17" si="28">V16</f>
        <v>8497.5616887747819</v>
      </c>
      <c r="X16" s="64">
        <f t="shared" ref="X16:X17" si="29">W16</f>
        <v>8497.5616887747819</v>
      </c>
      <c r="Y16" s="64">
        <f t="shared" ref="Y16:Y17" si="30">X16</f>
        <v>8497.5616887747819</v>
      </c>
      <c r="Z16" s="64">
        <f t="shared" ref="Z16:Z17" si="31">Y16</f>
        <v>8497.5616887747819</v>
      </c>
      <c r="AA16" s="64">
        <f t="shared" ref="AA16:AA17" si="32">Z16</f>
        <v>8497.5616887747819</v>
      </c>
      <c r="AB16" s="78">
        <f t="shared" si="8"/>
        <v>1278.1093528544113</v>
      </c>
    </row>
    <row r="17" spans="1:29" ht="15" x14ac:dyDescent="0.25">
      <c r="A17" s="5" t="s">
        <v>113</v>
      </c>
      <c r="B17" s="5" t="s">
        <v>103</v>
      </c>
      <c r="C17" s="6">
        <f>VLOOKUP($A$2,AR2008_Stats!$B$4:$O$15,AR2008_Stats!L$1,FALSE)*865/14022</f>
        <v>871.41563257737846</v>
      </c>
      <c r="D17" s="64">
        <f t="shared" si="9"/>
        <v>871.41563257737846</v>
      </c>
      <c r="E17" s="64">
        <f t="shared" si="10"/>
        <v>871.41563257737846</v>
      </c>
      <c r="F17" s="64">
        <f t="shared" si="11"/>
        <v>871.41563257737846</v>
      </c>
      <c r="G17" s="64">
        <f t="shared" si="12"/>
        <v>871.41563257737846</v>
      </c>
      <c r="H17" s="64">
        <f t="shared" si="13"/>
        <v>871.41563257737846</v>
      </c>
      <c r="I17" s="64">
        <f t="shared" si="14"/>
        <v>871.41563257737846</v>
      </c>
      <c r="J17" s="64">
        <f t="shared" si="15"/>
        <v>871.41563257737846</v>
      </c>
      <c r="K17" s="64">
        <f t="shared" si="16"/>
        <v>871.41563257737846</v>
      </c>
      <c r="L17" s="64">
        <f t="shared" si="17"/>
        <v>871.41563257737846</v>
      </c>
      <c r="M17" s="64">
        <f t="shared" si="18"/>
        <v>871.41563257737846</v>
      </c>
      <c r="N17" s="64">
        <f t="shared" si="19"/>
        <v>871.41563257737846</v>
      </c>
      <c r="O17" s="64">
        <f t="shared" si="20"/>
        <v>871.41563257737846</v>
      </c>
      <c r="P17" s="64">
        <f t="shared" si="21"/>
        <v>871.41563257737846</v>
      </c>
      <c r="Q17" s="64">
        <f t="shared" si="22"/>
        <v>871.41563257737846</v>
      </c>
      <c r="R17" s="64">
        <f t="shared" si="23"/>
        <v>871.41563257737846</v>
      </c>
      <c r="S17" s="64">
        <f t="shared" si="24"/>
        <v>871.41563257737846</v>
      </c>
      <c r="T17" s="64">
        <f t="shared" si="25"/>
        <v>871.41563257737846</v>
      </c>
      <c r="U17" s="64">
        <f t="shared" si="26"/>
        <v>871.41563257737846</v>
      </c>
      <c r="V17" s="64">
        <f t="shared" si="27"/>
        <v>871.41563257737846</v>
      </c>
      <c r="W17" s="64">
        <f t="shared" si="28"/>
        <v>871.41563257737846</v>
      </c>
      <c r="X17" s="64">
        <f t="shared" si="29"/>
        <v>871.41563257737846</v>
      </c>
      <c r="Y17" s="64">
        <f t="shared" si="30"/>
        <v>871.41563257737846</v>
      </c>
      <c r="Z17" s="64">
        <f t="shared" si="31"/>
        <v>871.41563257737846</v>
      </c>
      <c r="AA17" s="64">
        <f t="shared" si="32"/>
        <v>871.41563257737846</v>
      </c>
      <c r="AB17" s="78">
        <f t="shared" si="8"/>
        <v>131.06871253338068</v>
      </c>
    </row>
    <row r="18" spans="1:29" ht="15" x14ac:dyDescent="0.25">
      <c r="A18" s="5" t="s">
        <v>122</v>
      </c>
      <c r="B18" s="5" t="s">
        <v>106</v>
      </c>
      <c r="C18" s="6">
        <f>VLOOKUP($A$2,AR2008_Stats!$B$4:$O$15,AR2008_Stats!L$1,FALSE)*859/14022</f>
        <v>865.37113107973187</v>
      </c>
      <c r="D18" s="64">
        <f t="shared" si="9"/>
        <v>865.37113107973187</v>
      </c>
      <c r="E18" s="64">
        <f t="shared" ref="E18" si="33">D18</f>
        <v>865.37113107973187</v>
      </c>
      <c r="F18" s="64">
        <f t="shared" ref="F18" si="34">E18</f>
        <v>865.37113107973187</v>
      </c>
      <c r="G18" s="64">
        <f t="shared" ref="G18" si="35">F18</f>
        <v>865.37113107973187</v>
      </c>
      <c r="H18" s="64">
        <f t="shared" ref="H18" si="36">G18</f>
        <v>865.37113107973187</v>
      </c>
      <c r="I18" s="64">
        <f t="shared" ref="I18" si="37">H18</f>
        <v>865.37113107973187</v>
      </c>
      <c r="J18" s="64">
        <f t="shared" ref="J18" si="38">I18</f>
        <v>865.37113107973187</v>
      </c>
      <c r="K18" s="64">
        <f t="shared" ref="K18" si="39">J18</f>
        <v>865.37113107973187</v>
      </c>
      <c r="L18" s="64">
        <f t="shared" ref="L18" si="40">K18</f>
        <v>865.37113107973187</v>
      </c>
      <c r="M18" s="64">
        <f t="shared" ref="M18" si="41">L18</f>
        <v>865.37113107973187</v>
      </c>
      <c r="N18" s="64">
        <f t="shared" ref="N18" si="42">M18</f>
        <v>865.37113107973187</v>
      </c>
      <c r="O18" s="64">
        <f t="shared" ref="O18" si="43">N18</f>
        <v>865.37113107973187</v>
      </c>
      <c r="P18" s="64">
        <f t="shared" ref="P18" si="44">O18</f>
        <v>865.37113107973187</v>
      </c>
      <c r="Q18" s="64">
        <f t="shared" ref="Q18" si="45">P18</f>
        <v>865.37113107973187</v>
      </c>
      <c r="R18" s="64">
        <f t="shared" ref="R18" si="46">Q18</f>
        <v>865.37113107973187</v>
      </c>
      <c r="S18" s="64">
        <f t="shared" ref="S18" si="47">R18</f>
        <v>865.37113107973187</v>
      </c>
      <c r="T18" s="64">
        <f t="shared" ref="T18" si="48">S18</f>
        <v>865.37113107973187</v>
      </c>
      <c r="U18" s="64">
        <f t="shared" ref="U18" si="49">T18</f>
        <v>865.37113107973187</v>
      </c>
      <c r="V18" s="64">
        <f t="shared" ref="V18" si="50">U18</f>
        <v>865.37113107973187</v>
      </c>
      <c r="W18" s="64">
        <f t="shared" ref="W18" si="51">V18</f>
        <v>865.37113107973187</v>
      </c>
      <c r="X18" s="64">
        <f t="shared" ref="X18" si="52">W18</f>
        <v>865.37113107973187</v>
      </c>
      <c r="Y18" s="64">
        <f t="shared" ref="Y18" si="53">X18</f>
        <v>865.37113107973187</v>
      </c>
      <c r="Z18" s="64">
        <f t="shared" ref="Z18" si="54">Y18</f>
        <v>865.37113107973187</v>
      </c>
      <c r="AA18" s="64">
        <f t="shared" ref="AA18" si="55">Z18</f>
        <v>865.37113107973187</v>
      </c>
      <c r="AB18" s="78">
        <f t="shared" si="8"/>
        <v>130.15956539442081</v>
      </c>
    </row>
    <row r="19" spans="1:29" ht="15" x14ac:dyDescent="0.25">
      <c r="A19" s="1" t="s">
        <v>111</v>
      </c>
      <c r="B19" s="5"/>
      <c r="C19" s="65">
        <f>SUM(C13:C17)</f>
        <v>13260.628868920268</v>
      </c>
      <c r="D19" s="65">
        <f t="shared" ref="D19:AA19" si="56">SUM(D13:D17)</f>
        <v>13260.628868920268</v>
      </c>
      <c r="E19" s="65">
        <f t="shared" si="56"/>
        <v>13260.628868920268</v>
      </c>
      <c r="F19" s="65">
        <f t="shared" si="56"/>
        <v>13260.628868920268</v>
      </c>
      <c r="G19" s="65">
        <f t="shared" si="56"/>
        <v>13260.628868920268</v>
      </c>
      <c r="H19" s="65">
        <f t="shared" si="56"/>
        <v>13260.628868920268</v>
      </c>
      <c r="I19" s="65">
        <f t="shared" si="56"/>
        <v>13260.628868920268</v>
      </c>
      <c r="J19" s="65">
        <f t="shared" si="56"/>
        <v>13260.628868920268</v>
      </c>
      <c r="K19" s="65">
        <f t="shared" si="56"/>
        <v>13260.628868920268</v>
      </c>
      <c r="L19" s="65">
        <f t="shared" si="56"/>
        <v>13260.628868920268</v>
      </c>
      <c r="M19" s="65">
        <f t="shared" si="56"/>
        <v>13260.628868920268</v>
      </c>
      <c r="N19" s="65">
        <f t="shared" si="56"/>
        <v>13260.628868920268</v>
      </c>
      <c r="O19" s="65">
        <f t="shared" si="56"/>
        <v>13260.628868920268</v>
      </c>
      <c r="P19" s="65">
        <f t="shared" si="56"/>
        <v>13260.628868920268</v>
      </c>
      <c r="Q19" s="65">
        <f t="shared" si="56"/>
        <v>13260.628868920268</v>
      </c>
      <c r="R19" s="65">
        <f t="shared" si="56"/>
        <v>13260.628868920268</v>
      </c>
      <c r="S19" s="65">
        <f t="shared" si="56"/>
        <v>13260.628868920268</v>
      </c>
      <c r="T19" s="65">
        <f t="shared" si="56"/>
        <v>13260.628868920268</v>
      </c>
      <c r="U19" s="65">
        <f t="shared" si="56"/>
        <v>13260.628868920268</v>
      </c>
      <c r="V19" s="65">
        <f t="shared" si="56"/>
        <v>13260.628868920268</v>
      </c>
      <c r="W19" s="65">
        <f t="shared" si="56"/>
        <v>13260.628868920268</v>
      </c>
      <c r="X19" s="65">
        <f t="shared" si="56"/>
        <v>13260.628868920268</v>
      </c>
      <c r="Y19" s="65">
        <f t="shared" si="56"/>
        <v>13260.628868920268</v>
      </c>
      <c r="Z19" s="65">
        <f t="shared" si="56"/>
        <v>13260.628868920268</v>
      </c>
      <c r="AA19" s="65">
        <f t="shared" si="56"/>
        <v>13260.628868920268</v>
      </c>
      <c r="AB19" s="65">
        <f t="shared" ref="AB19:AC19" si="57">SUM(AB13:AB17)</f>
        <v>1994.5172983547855</v>
      </c>
      <c r="AC19" s="65">
        <f t="shared" si="57"/>
        <v>0</v>
      </c>
    </row>
    <row r="20" spans="1:29" ht="15" x14ac:dyDescent="0.25">
      <c r="A20" s="66" t="s">
        <v>116</v>
      </c>
      <c r="B20" s="66" t="s">
        <v>1</v>
      </c>
      <c r="C20" s="67">
        <f t="shared" ref="C20:AA20" si="58">C19+C11</f>
        <v>249540.99714928857</v>
      </c>
      <c r="D20" s="67">
        <f t="shared" si="58"/>
        <v>251903.80083209227</v>
      </c>
      <c r="E20" s="67">
        <f t="shared" si="58"/>
        <v>247699.80256140576</v>
      </c>
      <c r="F20" s="67">
        <f t="shared" si="58"/>
        <v>258870.09788758159</v>
      </c>
      <c r="G20" s="67">
        <f>G19+G11</f>
        <v>265867.53575487441</v>
      </c>
      <c r="H20" s="67">
        <f t="shared" si="58"/>
        <v>273591.12283481081</v>
      </c>
      <c r="I20" s="67">
        <f t="shared" si="58"/>
        <v>283104.07760265277</v>
      </c>
      <c r="J20" s="67">
        <f t="shared" si="58"/>
        <v>289731.43942493433</v>
      </c>
      <c r="K20" s="67">
        <f t="shared" si="58"/>
        <v>299618.4710598957</v>
      </c>
      <c r="L20" s="67">
        <f t="shared" si="58"/>
        <v>309438.48892454413</v>
      </c>
      <c r="M20" s="67">
        <f t="shared" si="58"/>
        <v>319948.6486028622</v>
      </c>
      <c r="N20" s="67">
        <f t="shared" si="58"/>
        <v>331581.03888253844</v>
      </c>
      <c r="O20" s="67">
        <f t="shared" si="58"/>
        <v>343928.57611406076</v>
      </c>
      <c r="P20" s="67">
        <f t="shared" si="58"/>
        <v>354898.83033482515</v>
      </c>
      <c r="Q20" s="67">
        <f t="shared" si="58"/>
        <v>365032.91273496969</v>
      </c>
      <c r="R20" s="67">
        <f t="shared" si="58"/>
        <v>374241.80502258602</v>
      </c>
      <c r="S20" s="67">
        <f t="shared" si="58"/>
        <v>383124.63030838181</v>
      </c>
      <c r="T20" s="67">
        <f t="shared" si="58"/>
        <v>392092.47306397749</v>
      </c>
      <c r="U20" s="67">
        <f t="shared" si="58"/>
        <v>403572.83210354112</v>
      </c>
      <c r="V20" s="67">
        <f t="shared" si="58"/>
        <v>414498.07707558793</v>
      </c>
      <c r="W20" s="67">
        <f t="shared" si="58"/>
        <v>425415.32040341821</v>
      </c>
      <c r="X20" s="67">
        <f t="shared" si="58"/>
        <v>435982.49179677846</v>
      </c>
      <c r="Y20" s="67">
        <f t="shared" si="58"/>
        <v>445111.36764223024</v>
      </c>
      <c r="Z20" s="67">
        <f t="shared" si="58"/>
        <v>453582.10825087846</v>
      </c>
      <c r="AA20" s="67">
        <f t="shared" si="58"/>
        <v>463756.02954439411</v>
      </c>
      <c r="AB20" s="67">
        <f t="shared" ref="AB20:AC20" si="59">AB19+AB11</f>
        <v>555312.48351594456</v>
      </c>
      <c r="AC20" s="67">
        <f t="shared" si="59"/>
        <v>701919.41421095841</v>
      </c>
    </row>
    <row r="21" spans="1:29" ht="15" x14ac:dyDescent="0.25">
      <c r="A21" s="3" t="s">
        <v>120</v>
      </c>
      <c r="B21" s="5" t="s">
        <v>1</v>
      </c>
      <c r="C21" s="6">
        <f>VLOOKUP($A$2,AR2008_Stats!$B$4:$O$15,AR2008_Stats!K$1,FALSE)</f>
        <v>10998</v>
      </c>
      <c r="D21" s="1"/>
      <c r="E21" s="1"/>
      <c r="F21" s="67">
        <v>258870.09788758156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9" ht="15" x14ac:dyDescent="0.25">
      <c r="A22" s="3" t="s">
        <v>121</v>
      </c>
      <c r="B22" s="5" t="s">
        <v>1</v>
      </c>
      <c r="C22" s="6">
        <f>VLOOKUP($A$2,AR2008_Stats!$B$4:$O$15,AR2008_Stats!J$1,FALSE)</f>
        <v>239108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9" ht="15" x14ac:dyDescent="0.25">
      <c r="A23" s="66" t="s">
        <v>119</v>
      </c>
      <c r="B23" s="66" t="s">
        <v>1</v>
      </c>
      <c r="C23" s="67">
        <f>C22+C21</f>
        <v>250106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9" x14ac:dyDescent="0.2">
      <c r="A24" s="3" t="s">
        <v>88</v>
      </c>
    </row>
    <row r="25" spans="1:29" ht="15" x14ac:dyDescent="0.25">
      <c r="A25" s="1" t="s">
        <v>76</v>
      </c>
      <c r="B25" s="5" t="s">
        <v>1</v>
      </c>
      <c r="C25" s="74">
        <f>VLOOKUP($A$2,'[1]Total Existing Capacity'!$A$3:$J$14,9,FALSE)</f>
        <v>279118.66204954556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9" x14ac:dyDescent="0.2">
      <c r="A26" s="1" t="s">
        <v>89</v>
      </c>
      <c r="B26" s="5"/>
      <c r="C26" s="30">
        <f>(C21+C25)/C11-1</f>
        <v>0.22784920372773221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9" x14ac:dyDescent="0.2">
      <c r="A27" s="1" t="s">
        <v>90</v>
      </c>
      <c r="B27" s="5"/>
      <c r="C27" s="30">
        <f>(C21+C25-C13)/C11-1</f>
        <v>0.21855018193262743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9" x14ac:dyDescent="0.2">
      <c r="A28" s="1" t="s">
        <v>91</v>
      </c>
      <c r="B28" s="5"/>
      <c r="C28" s="30">
        <f>C25/C11-1</f>
        <v>0.18130280598828974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9" x14ac:dyDescent="0.2">
      <c r="A29" s="1" t="s">
        <v>92</v>
      </c>
      <c r="B29" s="5"/>
      <c r="C29" s="30">
        <f>(C25-C13)/C11-1</f>
        <v>0.17200378419318496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9" ht="15" x14ac:dyDescent="0.25">
      <c r="A30" s="1" t="s">
        <v>77</v>
      </c>
      <c r="B30" s="5" t="s">
        <v>1</v>
      </c>
      <c r="C30" s="74">
        <f>VLOOKUP($A$2,'[1]Total Existing Capacity'!$A$3:$J$14,10,FALSE)</f>
        <v>279118.66204954556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9" x14ac:dyDescent="0.2">
      <c r="A31" s="1" t="s">
        <v>93</v>
      </c>
      <c r="B31" s="5"/>
      <c r="C31" s="30">
        <f>C30/C11-1</f>
        <v>0.18130280598828974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9" x14ac:dyDescent="0.2">
      <c r="A32" s="1" t="s">
        <v>94</v>
      </c>
      <c r="B32" s="5"/>
      <c r="C32" s="30">
        <f>(C30-C13)/C11-1</f>
        <v>0.17200378419318496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9" ht="15" x14ac:dyDescent="0.25">
      <c r="A33" s="1" t="s">
        <v>74</v>
      </c>
      <c r="B33" s="2" t="s">
        <v>10</v>
      </c>
      <c r="C33" s="6">
        <f>36440*1.03</f>
        <v>37533.200000000004</v>
      </c>
      <c r="D33" s="28">
        <f>D20/(D34*8.76)</f>
        <v>37888.586827016465</v>
      </c>
      <c r="E33" s="28">
        <f>E20/(E34*8.76)</f>
        <v>37256.267850592187</v>
      </c>
      <c r="F33" s="28">
        <f t="shared" ref="F33:Z33" si="60">F20/(F34*8.76)</f>
        <v>38936.380270298527</v>
      </c>
      <c r="G33" s="28">
        <f t="shared" si="60"/>
        <v>39988.857570465567</v>
      </c>
      <c r="H33" s="28">
        <f t="shared" si="60"/>
        <v>41150.554213102769</v>
      </c>
      <c r="I33" s="28">
        <f t="shared" si="60"/>
        <v>42581.387775408199</v>
      </c>
      <c r="J33" s="28">
        <f t="shared" si="60"/>
        <v>43578.202325280523</v>
      </c>
      <c r="K33" s="28">
        <f t="shared" si="60"/>
        <v>45065.300397343308</v>
      </c>
      <c r="L33" s="28">
        <f t="shared" si="60"/>
        <v>46542.318998406765</v>
      </c>
      <c r="M33" s="28">
        <f t="shared" si="60"/>
        <v>48123.141106776595</v>
      </c>
      <c r="N33" s="28">
        <f t="shared" si="60"/>
        <v>49872.756744418482</v>
      </c>
      <c r="O33" s="28">
        <f t="shared" si="60"/>
        <v>51729.936886008276</v>
      </c>
      <c r="P33" s="28">
        <f t="shared" si="60"/>
        <v>53379.96133258233</v>
      </c>
      <c r="Q33" s="28">
        <f t="shared" si="60"/>
        <v>54904.218051463482</v>
      </c>
      <c r="R33" s="28">
        <f t="shared" si="60"/>
        <v>56289.317894607819</v>
      </c>
      <c r="S33" s="28">
        <f t="shared" si="60"/>
        <v>57625.374341546565</v>
      </c>
      <c r="T33" s="28">
        <f t="shared" si="60"/>
        <v>58974.218177066541</v>
      </c>
      <c r="U33" s="28">
        <f t="shared" si="60"/>
        <v>60700.966955127908</v>
      </c>
      <c r="V33" s="28">
        <f t="shared" si="60"/>
        <v>62344.221607747204</v>
      </c>
      <c r="W33" s="28">
        <f t="shared" si="60"/>
        <v>63986.2727414412</v>
      </c>
      <c r="X33" s="28">
        <f t="shared" si="60"/>
        <v>65575.669922153713</v>
      </c>
      <c r="Y33" s="28">
        <f t="shared" si="60"/>
        <v>66948.734576045143</v>
      </c>
      <c r="Z33" s="28">
        <f t="shared" si="60"/>
        <v>68222.809798331407</v>
      </c>
      <c r="AA33" s="28">
        <f t="shared" ref="AA33:AC33" si="61">AA20/(AA34*8.76)</f>
        <v>69753.058643435346</v>
      </c>
      <c r="AB33" s="28">
        <f t="shared" si="61"/>
        <v>83523.968984669409</v>
      </c>
      <c r="AC33" s="75">
        <f t="shared" si="61"/>
        <v>105574.9638673665</v>
      </c>
    </row>
    <row r="34" spans="1:29" ht="15" x14ac:dyDescent="0.25">
      <c r="A34" s="1" t="s">
        <v>7</v>
      </c>
      <c r="C34" s="14">
        <f>C20/(C33*8.76)</f>
        <v>0.75896580093598387</v>
      </c>
      <c r="D34" s="14">
        <f>C34</f>
        <v>0.75896580093598387</v>
      </c>
      <c r="E34" s="14">
        <f t="shared" ref="E34:Z34" si="62">D34</f>
        <v>0.75896580093598387</v>
      </c>
      <c r="F34" s="14">
        <f t="shared" si="62"/>
        <v>0.75896580093598387</v>
      </c>
      <c r="G34" s="14">
        <f t="shared" si="62"/>
        <v>0.75896580093598387</v>
      </c>
      <c r="H34" s="14">
        <f t="shared" si="62"/>
        <v>0.75896580093598387</v>
      </c>
      <c r="I34" s="14">
        <f t="shared" si="62"/>
        <v>0.75896580093598387</v>
      </c>
      <c r="J34" s="14">
        <f t="shared" si="62"/>
        <v>0.75896580093598387</v>
      </c>
      <c r="K34" s="14">
        <f t="shared" si="62"/>
        <v>0.75896580093598387</v>
      </c>
      <c r="L34" s="14">
        <f t="shared" si="62"/>
        <v>0.75896580093598387</v>
      </c>
      <c r="M34" s="14">
        <f t="shared" si="62"/>
        <v>0.75896580093598387</v>
      </c>
      <c r="N34" s="14">
        <f t="shared" si="62"/>
        <v>0.75896580093598387</v>
      </c>
      <c r="O34" s="14">
        <f t="shared" si="62"/>
        <v>0.75896580093598387</v>
      </c>
      <c r="P34" s="14">
        <f t="shared" si="62"/>
        <v>0.75896580093598387</v>
      </c>
      <c r="Q34" s="14">
        <f t="shared" si="62"/>
        <v>0.75896580093598387</v>
      </c>
      <c r="R34" s="14">
        <f t="shared" si="62"/>
        <v>0.75896580093598387</v>
      </c>
      <c r="S34" s="14">
        <f t="shared" si="62"/>
        <v>0.75896580093598387</v>
      </c>
      <c r="T34" s="14">
        <f t="shared" si="62"/>
        <v>0.75896580093598387</v>
      </c>
      <c r="U34" s="14">
        <f t="shared" si="62"/>
        <v>0.75896580093598387</v>
      </c>
      <c r="V34" s="14">
        <f t="shared" si="62"/>
        <v>0.75896580093598387</v>
      </c>
      <c r="W34" s="14">
        <f t="shared" si="62"/>
        <v>0.75896580093598387</v>
      </c>
      <c r="X34" s="14">
        <f t="shared" si="62"/>
        <v>0.75896580093598387</v>
      </c>
      <c r="Y34" s="14">
        <f t="shared" si="62"/>
        <v>0.75896580093598387</v>
      </c>
      <c r="Z34" s="14">
        <f t="shared" si="62"/>
        <v>0.75896580093598387</v>
      </c>
      <c r="AA34" s="14">
        <f t="shared" ref="AA34" si="63">Z34</f>
        <v>0.75896580093598387</v>
      </c>
      <c r="AB34" s="14">
        <f t="shared" ref="AB34" si="64">AA34</f>
        <v>0.75896580093598387</v>
      </c>
      <c r="AC34" s="14">
        <f t="shared" ref="AC34" si="65">AB34</f>
        <v>0.75896580093598387</v>
      </c>
    </row>
    <row r="35" spans="1:29" ht="15" x14ac:dyDescent="0.25">
      <c r="A35" s="1" t="s">
        <v>8</v>
      </c>
      <c r="C35" s="15"/>
      <c r="D35" s="15">
        <f t="shared" ref="D35:J35" si="66">D33/C33-1</f>
        <v>9.4685991872918152E-3</v>
      </c>
      <c r="E35" s="15">
        <f t="shared" si="66"/>
        <v>-1.668890368783571E-2</v>
      </c>
      <c r="F35" s="15">
        <f t="shared" si="66"/>
        <v>4.5096101049199255E-2</v>
      </c>
      <c r="G35" s="15">
        <f t="shared" si="66"/>
        <v>2.7030691935425954E-2</v>
      </c>
      <c r="H35" s="15">
        <f t="shared" si="66"/>
        <v>2.9050508396998964E-2</v>
      </c>
      <c r="I35" s="15">
        <f t="shared" si="66"/>
        <v>3.4770699682334705E-2</v>
      </c>
      <c r="J35" s="15">
        <f t="shared" si="66"/>
        <v>2.3409630403075088E-2</v>
      </c>
    </row>
    <row r="36" spans="1:29" ht="15" x14ac:dyDescent="0.25">
      <c r="A36" s="1" t="s">
        <v>75</v>
      </c>
      <c r="B36" s="2" t="s">
        <v>10</v>
      </c>
      <c r="C36" s="29">
        <f>IF(B3="AR 2008",C53,C54)</f>
        <v>41388</v>
      </c>
      <c r="D36" s="15"/>
      <c r="E36" s="15"/>
      <c r="F36" s="15"/>
      <c r="G36" s="15"/>
      <c r="H36" s="15"/>
      <c r="I36" s="15"/>
      <c r="J36" s="15"/>
    </row>
    <row r="37" spans="1:29" s="1" customFormat="1" x14ac:dyDescent="0.2">
      <c r="A37" s="1" t="s">
        <v>81</v>
      </c>
      <c r="B37" s="1" t="s">
        <v>10</v>
      </c>
      <c r="C37" s="72">
        <f>MAX(0,C33-C36)</f>
        <v>0</v>
      </c>
      <c r="D37" s="77">
        <f>C21/(C34*8.76)</f>
        <v>1654.197660166627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</row>
    <row r="38" spans="1:29" ht="15" x14ac:dyDescent="0.25">
      <c r="A38" s="1" t="s">
        <v>79</v>
      </c>
      <c r="C38" s="15">
        <f>C36/C33-1</f>
        <v>0.10270373962252077</v>
      </c>
      <c r="D38" s="34">
        <f>C38</f>
        <v>0.10270373962252077</v>
      </c>
      <c r="E38" s="34">
        <f t="shared" ref="E38:AA38" si="67">D38</f>
        <v>0.10270373962252077</v>
      </c>
      <c r="F38" s="34">
        <f t="shared" si="67"/>
        <v>0.10270373962252077</v>
      </c>
      <c r="G38" s="34">
        <f t="shared" si="67"/>
        <v>0.10270373962252077</v>
      </c>
      <c r="H38" s="34">
        <f t="shared" si="67"/>
        <v>0.10270373962252077</v>
      </c>
      <c r="I38" s="34">
        <f t="shared" si="67"/>
        <v>0.10270373962252077</v>
      </c>
      <c r="J38" s="34">
        <f t="shared" si="67"/>
        <v>0.10270373962252077</v>
      </c>
      <c r="K38" s="34">
        <f t="shared" si="67"/>
        <v>0.10270373962252077</v>
      </c>
      <c r="L38" s="34">
        <f t="shared" si="67"/>
        <v>0.10270373962252077</v>
      </c>
      <c r="M38" s="34">
        <f t="shared" si="67"/>
        <v>0.10270373962252077</v>
      </c>
      <c r="N38" s="34">
        <f t="shared" si="67"/>
        <v>0.10270373962252077</v>
      </c>
      <c r="O38" s="34">
        <f t="shared" si="67"/>
        <v>0.10270373962252077</v>
      </c>
      <c r="P38" s="34">
        <f t="shared" si="67"/>
        <v>0.10270373962252077</v>
      </c>
      <c r="Q38" s="34">
        <f t="shared" si="67"/>
        <v>0.10270373962252077</v>
      </c>
      <c r="R38" s="34">
        <f t="shared" si="67"/>
        <v>0.10270373962252077</v>
      </c>
      <c r="S38" s="34">
        <f t="shared" si="67"/>
        <v>0.10270373962252077</v>
      </c>
      <c r="T38" s="34">
        <f t="shared" si="67"/>
        <v>0.10270373962252077</v>
      </c>
      <c r="U38" s="34">
        <f t="shared" si="67"/>
        <v>0.10270373962252077</v>
      </c>
      <c r="V38" s="34">
        <f t="shared" si="67"/>
        <v>0.10270373962252077</v>
      </c>
      <c r="W38" s="34">
        <f t="shared" si="67"/>
        <v>0.10270373962252077</v>
      </c>
      <c r="X38" s="34">
        <f t="shared" si="67"/>
        <v>0.10270373962252077</v>
      </c>
      <c r="Y38" s="34">
        <f t="shared" si="67"/>
        <v>0.10270373962252077</v>
      </c>
      <c r="Z38" s="34">
        <f t="shared" si="67"/>
        <v>0.10270373962252077</v>
      </c>
      <c r="AA38" s="34">
        <f t="shared" si="67"/>
        <v>0.10270373962252077</v>
      </c>
    </row>
    <row r="39" spans="1:29" ht="15" x14ac:dyDescent="0.25">
      <c r="A39" s="1"/>
      <c r="C39" s="15"/>
      <c r="D39" s="15"/>
      <c r="E39" s="15"/>
      <c r="F39" s="15"/>
      <c r="G39" s="15"/>
      <c r="H39" s="15"/>
      <c r="I39" s="15"/>
      <c r="J39" s="15"/>
    </row>
    <row r="40" spans="1:29" ht="15" x14ac:dyDescent="0.25">
      <c r="A40" s="3" t="s">
        <v>78</v>
      </c>
      <c r="C40" s="15"/>
      <c r="D40" s="36"/>
      <c r="E40" s="36"/>
      <c r="F40" s="36"/>
      <c r="G40" s="36"/>
      <c r="H40" s="36"/>
      <c r="I40" s="35"/>
      <c r="J40" s="35"/>
    </row>
    <row r="41" spans="1:29" ht="15" x14ac:dyDescent="0.25">
      <c r="A41" s="1" t="s">
        <v>69</v>
      </c>
      <c r="B41" s="1" t="s">
        <v>1</v>
      </c>
      <c r="D41" s="23">
        <f>SUMIF(AR2008_EnergyProj!$A$3:$A$14,SAF!$A$2,AR2008_EnergyProj!B$3:B$14)</f>
        <v>252109</v>
      </c>
      <c r="E41" s="23">
        <f>SUMIF(AR2008_EnergyProj!$A$3:$A$14,SAF!$A$2,AR2008_EnergyProj!C$3:C$14)</f>
        <v>261361</v>
      </c>
      <c r="F41" s="23">
        <f>SUMIF(AR2008_EnergyProj!$A$3:$A$14,SAF!$A$2,AR2008_EnergyProj!D$3:D$14)</f>
        <v>271103</v>
      </c>
      <c r="G41" s="23">
        <f>SUMIF(AR2008_EnergyProj!$A$3:$A$14,SAF!$A$2,AR2008_EnergyProj!E$3:E$14)</f>
        <v>280739</v>
      </c>
      <c r="H41" s="23">
        <f>SUMIF(AR2008_EnergyProj!$A$3:$A$14,SAF!$A$2,AR2008_EnergyProj!F$3:F$14)</f>
        <v>290904</v>
      </c>
      <c r="I41" s="23">
        <f>SUMIF(AR2008_EnergyProj!$A$3:$A$14,SAF!$A$2,AR2008_EnergyProj!G$3:G$14)</f>
        <v>303086</v>
      </c>
      <c r="J41" s="23">
        <f>SUMIF(AR2008_EnergyProj!$A$3:$A$14,SAF!$A$2,AR2008_EnergyProj!H$3:H$14)</f>
        <v>315039</v>
      </c>
      <c r="K41" s="23">
        <f>SUMIF(AR2008_EnergyProj!$A$3:$A$14,SAF!$A$2,AR2008_EnergyProj!I$3:I$14)</f>
        <v>327790</v>
      </c>
      <c r="L41" s="23">
        <f>SUMIF(AR2008_EnergyProj!$A$3:$A$14,SAF!$A$2,AR2008_EnergyProj!J$3:J$14)</f>
        <v>340121</v>
      </c>
      <c r="M41" s="23">
        <f>SUMIF(AR2008_EnergyProj!$A$3:$A$14,SAF!$A$2,AR2008_EnergyProj!K$3:K$14)</f>
        <v>354423</v>
      </c>
      <c r="N41" s="23">
        <f>SUMIF(AR2008_EnergyProj!$A$3:$A$14,SAF!$A$2,AR2008_EnergyProj!L$3:L$14)</f>
        <v>368643</v>
      </c>
      <c r="O41" s="23">
        <f>SUMIF(AR2008_EnergyProj!$A$3:$A$14,SAF!$A$2,AR2008_EnergyProj!M$3:M$14)</f>
        <v>383464</v>
      </c>
      <c r="P41" s="23">
        <f>SUMIF(AR2008_EnergyProj!$A$3:$A$14,SAF!$A$2,AR2008_EnergyProj!N$3:N$14)</f>
        <v>398084</v>
      </c>
      <c r="Q41" s="23">
        <f>SUMIF(AR2008_EnergyProj!$A$3:$A$14,SAF!$A$2,AR2008_EnergyProj!O$3:O$14)</f>
        <v>414618</v>
      </c>
      <c r="R41" s="23">
        <f>SUMIF(AR2008_EnergyProj!$A$3:$A$14,SAF!$A$2,AR2008_EnergyProj!P$3:P$14)</f>
        <v>431126</v>
      </c>
      <c r="S41" s="23">
        <f>SUMIF(AR2008_EnergyProj!$A$3:$A$14,SAF!$A$2,AR2008_EnergyProj!Q$3:Q$14)</f>
        <v>447663</v>
      </c>
      <c r="T41" s="23">
        <f>SUMIF(AR2008_EnergyProj!$A$3:$A$14,SAF!$A$2,AR2008_EnergyProj!R$3:R$14)</f>
        <v>463780</v>
      </c>
    </row>
    <row r="42" spans="1:29" ht="15" x14ac:dyDescent="0.25">
      <c r="A42" s="1" t="s">
        <v>11</v>
      </c>
      <c r="B42" s="1"/>
      <c r="D42" s="26">
        <f>VLOOKUP($A$2,AR2008_Stats!$B$4:$O$15,AR2008_Stats!I$1,FALSE)/100</f>
        <v>2.8999999999999998E-2</v>
      </c>
      <c r="E42" s="18">
        <f>E41/D41-1</f>
        <v>3.6698412194725361E-2</v>
      </c>
      <c r="F42" s="18">
        <f t="shared" ref="F42:T42" si="68">F41/E41-1</f>
        <v>3.7274115112813311E-2</v>
      </c>
      <c r="G42" s="18">
        <f t="shared" si="68"/>
        <v>3.5543686347993209E-2</v>
      </c>
      <c r="H42" s="18">
        <f t="shared" si="68"/>
        <v>3.6208008149918536E-2</v>
      </c>
      <c r="I42" s="18">
        <f t="shared" si="68"/>
        <v>4.1876357836262201E-2</v>
      </c>
      <c r="J42" s="18">
        <f t="shared" si="68"/>
        <v>3.9437651359680137E-2</v>
      </c>
      <c r="K42" s="18">
        <f t="shared" si="68"/>
        <v>4.0474353968873666E-2</v>
      </c>
      <c r="L42" s="18">
        <f t="shared" si="68"/>
        <v>3.7618597272644161E-2</v>
      </c>
      <c r="M42" s="18">
        <f t="shared" si="68"/>
        <v>4.2049741121542139E-2</v>
      </c>
      <c r="N42" s="18">
        <f t="shared" si="68"/>
        <v>4.0121549673695078E-2</v>
      </c>
      <c r="O42" s="18">
        <f t="shared" si="68"/>
        <v>4.0204208407592201E-2</v>
      </c>
      <c r="P42" s="18">
        <f t="shared" si="68"/>
        <v>3.8126134395927602E-2</v>
      </c>
      <c r="Q42" s="18">
        <f t="shared" si="68"/>
        <v>4.1533947609047273E-2</v>
      </c>
      <c r="R42" s="18">
        <f t="shared" si="68"/>
        <v>3.9814962206175419E-2</v>
      </c>
      <c r="S42" s="18">
        <f t="shared" si="68"/>
        <v>3.8357695894007726E-2</v>
      </c>
      <c r="T42" s="18">
        <f t="shared" si="68"/>
        <v>3.600252868787468E-2</v>
      </c>
      <c r="U42" s="4">
        <f>T42</f>
        <v>3.600252868787468E-2</v>
      </c>
    </row>
    <row r="43" spans="1:29" ht="15" x14ac:dyDescent="0.25">
      <c r="A43" s="1" t="s">
        <v>40</v>
      </c>
      <c r="B43" s="1" t="s">
        <v>1</v>
      </c>
      <c r="C43" s="23">
        <f>SUMIF(PoolPlan_EnergyProj!$B$60:$B$71,SAF!$A$2,PoolPlan_EnergyProj!D$60:D$71)</f>
        <v>237625</v>
      </c>
      <c r="D43" s="23">
        <f>SUMIF(PoolPlan_EnergyProj!$B$60:$B$71,SAF!$A$2,PoolPlan_EnergyProj!E$60:E$71)</f>
        <v>248976</v>
      </c>
      <c r="E43" s="23">
        <f>SUMIF(PoolPlan_EnergyProj!$B$60:$B$71,SAF!$A$2,PoolPlan_EnergyProj!F$60:F$71)</f>
        <v>262952</v>
      </c>
      <c r="F43" s="23">
        <f>SUMIF(PoolPlan_EnergyProj!$B$60:$B$71,SAF!$A$2,PoolPlan_EnergyProj!G$60:G$71)</f>
        <v>269940</v>
      </c>
      <c r="G43" s="23">
        <f>SUMIF(PoolPlan_EnergyProj!$B$60:$B$71,SAF!$A$2,PoolPlan_EnergyProj!H$60:H$71)</f>
        <v>281141</v>
      </c>
      <c r="H43" s="23">
        <f>SUMIF(PoolPlan_EnergyProj!$B$60:$B$71,SAF!$A$2,PoolPlan_EnergyProj!I$60:I$71)</f>
        <v>290958</v>
      </c>
      <c r="I43" s="23">
        <f>SUMIF(PoolPlan_EnergyProj!$B$60:$B$71,SAF!$A$2,PoolPlan_EnergyProj!J$60:J$71)</f>
        <v>298292</v>
      </c>
      <c r="J43" s="23">
        <f>SUMIF(PoolPlan_EnergyProj!$B$60:$B$71,SAF!$A$2,PoolPlan_EnergyProj!K$60:K$71)</f>
        <v>305014</v>
      </c>
      <c r="K43" s="23">
        <f>SUMIF(PoolPlan_EnergyProj!$B$60:$B$71,SAF!$A$2,PoolPlan_EnergyProj!L$60:L$71)</f>
        <v>311474</v>
      </c>
      <c r="L43" s="23">
        <f>SUMIF(PoolPlan_EnergyProj!$B$60:$B$71,SAF!$A$2,PoolPlan_EnergyProj!M$60:M$71)</f>
        <v>317746</v>
      </c>
      <c r="M43" s="23">
        <f>SUMIF(PoolPlan_EnergyProj!$B$60:$B$71,SAF!$A$2,PoolPlan_EnergyProj!N$60:N$71)</f>
        <v>323398</v>
      </c>
      <c r="N43" s="23">
        <f>SUMIF(PoolPlan_EnergyProj!$B$60:$B$71,SAF!$A$2,PoolPlan_EnergyProj!O$60:O$71)</f>
        <v>329361</v>
      </c>
      <c r="O43" s="23">
        <f>SUMIF(PoolPlan_EnergyProj!$B$60:$B$71,SAF!$A$2,PoolPlan_EnergyProj!P$60:P$71)</f>
        <v>334819</v>
      </c>
      <c r="P43" s="23">
        <f>SUMIF(PoolPlan_EnergyProj!$B$60:$B$71,SAF!$A$2,PoolPlan_EnergyProj!Q$60:Q$71)</f>
        <v>341021</v>
      </c>
      <c r="Q43" s="23">
        <f>SUMIF(PoolPlan_EnergyProj!$B$60:$B$71,SAF!$A$2,PoolPlan_EnergyProj!R$60:R$71)</f>
        <v>346781</v>
      </c>
      <c r="R43" s="23">
        <f>SUMIF(PoolPlan_EnergyProj!$B$60:$B$71,SAF!$A$2,PoolPlan_EnergyProj!S$60:S$71)</f>
        <v>351052</v>
      </c>
      <c r="S43" s="23">
        <f>SUMIF(PoolPlan_EnergyProj!$B$60:$B$71,SAF!$A$2,PoolPlan_EnergyProj!T$60:T$71)</f>
        <v>355298</v>
      </c>
      <c r="T43" s="23">
        <f>SUMIF(PoolPlan_EnergyProj!$B$60:$B$71,SAF!$A$2,PoolPlan_EnergyProj!U$60:U$71)</f>
        <v>361495</v>
      </c>
      <c r="U43" s="23">
        <f>SUMIF(PoolPlan_EnergyProj!$B$60:$B$71,SAF!$A$2,PoolPlan_EnergyProj!V$60:V$71)</f>
        <v>365152</v>
      </c>
      <c r="V43" s="23"/>
    </row>
    <row r="44" spans="1:29" x14ac:dyDescent="0.2">
      <c r="A44" s="1" t="s">
        <v>11</v>
      </c>
      <c r="B44" s="1"/>
      <c r="C44" s="16"/>
      <c r="D44" s="18">
        <f>D43/C43-1</f>
        <v>4.7768542872172581E-2</v>
      </c>
      <c r="E44" s="18">
        <f t="shared" ref="E44:U44" si="69">E43/D43-1</f>
        <v>5.6133924554977233E-2</v>
      </c>
      <c r="F44" s="18">
        <f t="shared" si="69"/>
        <v>2.6575192430557726E-2</v>
      </c>
      <c r="G44" s="18">
        <f t="shared" si="69"/>
        <v>4.1494406164332753E-2</v>
      </c>
      <c r="H44" s="18">
        <f t="shared" si="69"/>
        <v>3.4918421717216708E-2</v>
      </c>
      <c r="I44" s="18">
        <f t="shared" si="69"/>
        <v>2.5206387176156086E-2</v>
      </c>
      <c r="J44" s="18">
        <f t="shared" si="69"/>
        <v>2.2534965738269852E-2</v>
      </c>
      <c r="K44" s="18">
        <f t="shared" si="69"/>
        <v>2.1179355701705482E-2</v>
      </c>
      <c r="L44" s="18">
        <f t="shared" si="69"/>
        <v>2.0136512196844647E-2</v>
      </c>
      <c r="M44" s="18">
        <f t="shared" si="69"/>
        <v>1.7787792765290522E-2</v>
      </c>
      <c r="N44" s="18">
        <f t="shared" si="69"/>
        <v>1.8438580325172094E-2</v>
      </c>
      <c r="O44" s="18">
        <f t="shared" si="69"/>
        <v>1.6571482355227207E-2</v>
      </c>
      <c r="P44" s="18">
        <f t="shared" si="69"/>
        <v>1.8523441023358789E-2</v>
      </c>
      <c r="Q44" s="18">
        <f t="shared" si="69"/>
        <v>1.6890455426498585E-2</v>
      </c>
      <c r="R44" s="18">
        <f t="shared" si="69"/>
        <v>1.231613035316248E-2</v>
      </c>
      <c r="S44" s="18">
        <f t="shared" si="69"/>
        <v>1.2095074234016678E-2</v>
      </c>
      <c r="T44" s="18">
        <f t="shared" si="69"/>
        <v>1.7441696829140652E-2</v>
      </c>
      <c r="U44" s="18">
        <f t="shared" si="69"/>
        <v>1.0116322494087004E-2</v>
      </c>
    </row>
    <row r="45" spans="1:29" x14ac:dyDescent="0.2">
      <c r="A45" s="1"/>
      <c r="B45" s="1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9" ht="15" x14ac:dyDescent="0.25">
      <c r="A46" s="1" t="s">
        <v>9</v>
      </c>
      <c r="B46" s="1" t="s">
        <v>10</v>
      </c>
      <c r="C46"/>
      <c r="D46">
        <f>SUMIF(AR2008_PeakProj!$A$3:$A$14,SAF!$A$2,AR2008_PeakProj!B$3:B$14)</f>
        <v>38201</v>
      </c>
      <c r="E46">
        <f>SUMIF(AR2008_PeakProj!$A$3:$A$14,SAF!$A$2,AR2008_PeakProj!C$3:C$14)</f>
        <v>39811</v>
      </c>
      <c r="F46">
        <f>SUMIF(AR2008_PeakProj!$A$3:$A$14,SAF!$A$2,AR2008_PeakProj!D$3:D$14)</f>
        <v>41524</v>
      </c>
      <c r="G46">
        <f>SUMIF(AR2008_PeakProj!$A$3:$A$14,SAF!$A$2,AR2008_PeakProj!E$3:E$14)</f>
        <v>43283</v>
      </c>
      <c r="H46">
        <f>SUMIF(AR2008_PeakProj!$A$3:$A$14,SAF!$A$2,AR2008_PeakProj!F$3:F$14)</f>
        <v>45125</v>
      </c>
      <c r="I46">
        <f>SUMIF(AR2008_PeakProj!$A$3:$A$14,SAF!$A$2,AR2008_PeakProj!G$3:G$14)</f>
        <v>47085</v>
      </c>
      <c r="J46">
        <f>SUMIF(AR2008_PeakProj!$A$3:$A$14,SAF!$A$2,AR2008_PeakProj!H$3:H$14)</f>
        <v>49116</v>
      </c>
      <c r="K46">
        <f>SUMIF(AR2008_PeakProj!$A$3:$A$14,SAF!$A$2,AR2008_PeakProj!I$3:I$14)</f>
        <v>51204</v>
      </c>
      <c r="L46">
        <f>SUMIF(AR2008_PeakProj!$A$3:$A$14,SAF!$A$2,AR2008_PeakProj!J$3:J$14)</f>
        <v>53399</v>
      </c>
      <c r="M46">
        <f>SUMIF(AR2008_PeakProj!$A$3:$A$14,SAF!$A$2,AR2008_PeakProj!K$3:K$14)</f>
        <v>55610</v>
      </c>
      <c r="N46">
        <f>SUMIF(AR2008_PeakProj!$A$3:$A$14,SAF!$A$2,AR2008_PeakProj!L$3:L$14)</f>
        <v>57928</v>
      </c>
      <c r="O46">
        <f>SUMIF(AR2008_PeakProj!$A$3:$A$14,SAF!$A$2,AR2008_PeakProj!M$3:M$14)</f>
        <v>60313</v>
      </c>
      <c r="P46">
        <f>SUMIF(AR2008_PeakProj!$A$3:$A$14,SAF!$A$2,AR2008_PeakProj!N$3:N$14)</f>
        <v>62725</v>
      </c>
      <c r="Q46">
        <f>SUMIF(AR2008_PeakProj!$A$3:$A$14,SAF!$A$2,AR2008_PeakProj!O$3:O$14)</f>
        <v>65290</v>
      </c>
      <c r="R46">
        <f>SUMIF(AR2008_PeakProj!$A$3:$A$14,SAF!$A$2,AR2008_PeakProj!P$3:P$14)</f>
        <v>67857</v>
      </c>
      <c r="S46">
        <f>SUMIF(AR2008_PeakProj!$A$3:$A$14,SAF!$A$2,AR2008_PeakProj!Q$3:Q$14)</f>
        <v>70514</v>
      </c>
      <c r="T46">
        <f>SUMIF(AR2008_PeakProj!$A$3:$A$14,SAF!$A$2,AR2008_PeakProj!R$3:R$14)</f>
        <v>73240</v>
      </c>
      <c r="U46">
        <f>SUMIF(AR2008_PeakProj!$A$3:$A$14,SAF!$A$2,AR2008_PeakProj!S$3:S$14)</f>
        <v>75919</v>
      </c>
    </row>
    <row r="47" spans="1:29" x14ac:dyDescent="0.2">
      <c r="A47" s="1" t="s">
        <v>11</v>
      </c>
      <c r="B47" s="1" t="s">
        <v>12</v>
      </c>
      <c r="E47" s="18">
        <f>E46/D46-1</f>
        <v>4.2145493573466641E-2</v>
      </c>
      <c r="F47" s="18">
        <f t="shared" ref="F47:U47" si="70">F46/E46-1</f>
        <v>4.3028308758885636E-2</v>
      </c>
      <c r="G47" s="18">
        <f t="shared" si="70"/>
        <v>4.236104421539344E-2</v>
      </c>
      <c r="H47" s="18">
        <f t="shared" si="70"/>
        <v>4.2557124044082073E-2</v>
      </c>
      <c r="I47" s="18">
        <f t="shared" si="70"/>
        <v>4.3434903047091522E-2</v>
      </c>
      <c r="J47" s="18">
        <f t="shared" si="70"/>
        <v>4.3134756291812737E-2</v>
      </c>
      <c r="K47" s="18">
        <f t="shared" si="70"/>
        <v>4.2511605179574863E-2</v>
      </c>
      <c r="L47" s="18">
        <f t="shared" si="70"/>
        <v>4.286774470744481E-2</v>
      </c>
      <c r="M47" s="18">
        <f t="shared" si="70"/>
        <v>4.1405269761606078E-2</v>
      </c>
      <c r="N47" s="18">
        <f t="shared" si="70"/>
        <v>4.1683150512497713E-2</v>
      </c>
      <c r="O47" s="18">
        <f t="shared" si="70"/>
        <v>4.1171799475210547E-2</v>
      </c>
      <c r="P47" s="18">
        <f t="shared" si="70"/>
        <v>3.9991378309817138E-2</v>
      </c>
      <c r="Q47" s="18">
        <f t="shared" si="70"/>
        <v>4.0892785970506162E-2</v>
      </c>
      <c r="R47" s="18">
        <f t="shared" si="70"/>
        <v>3.9316893858171165E-2</v>
      </c>
      <c r="S47" s="18">
        <f t="shared" si="70"/>
        <v>3.9155871907098794E-2</v>
      </c>
      <c r="T47" s="18">
        <f t="shared" si="70"/>
        <v>3.8658989704172253E-2</v>
      </c>
      <c r="U47" s="18">
        <f t="shared" si="70"/>
        <v>3.6578372474057819E-2</v>
      </c>
    </row>
    <row r="48" spans="1:29" ht="15" x14ac:dyDescent="0.25">
      <c r="A48" s="1" t="s">
        <v>39</v>
      </c>
      <c r="B48" s="1" t="s">
        <v>10</v>
      </c>
      <c r="C48">
        <f>SUMIF(PoolPlan_PeakProj!$A$25:$A$36,SAF!$A$2,PoolPlan_PeakProj!C$25:C$36)</f>
        <v>35037</v>
      </c>
      <c r="D48">
        <f>SUMIF(PoolPlan_PeakProj!$A$25:$A$36,SAF!$A$2,PoolPlan_PeakProj!D$25:D$36)</f>
        <v>36720</v>
      </c>
      <c r="E48">
        <f>SUMIF(PoolPlan_PeakProj!$A$25:$A$36,SAF!$A$2,PoolPlan_PeakProj!E$25:E$36)</f>
        <v>38788</v>
      </c>
      <c r="F48">
        <f>SUMIF(PoolPlan_PeakProj!$A$25:$A$36,SAF!$A$2,PoolPlan_PeakProj!F$25:F$36)</f>
        <v>39825</v>
      </c>
      <c r="G48">
        <f>SUMIF(PoolPlan_PeakProj!$A$25:$A$36,SAF!$A$2,PoolPlan_PeakProj!G$25:G$36)</f>
        <v>41475</v>
      </c>
      <c r="H48">
        <f>SUMIF(PoolPlan_PeakProj!$A$25:$A$36,SAF!$A$2,PoolPlan_PeakProj!H$25:H$36)</f>
        <v>42923</v>
      </c>
      <c r="I48">
        <f>SUMIF(PoolPlan_PeakProj!$A$25:$A$36,SAF!$A$2,PoolPlan_PeakProj!I$25:I$36)</f>
        <v>44005</v>
      </c>
      <c r="J48">
        <f>SUMIF(PoolPlan_PeakProj!$A$25:$A$36,SAF!$A$2,PoolPlan_PeakProj!J$25:J$36)</f>
        <v>44998</v>
      </c>
      <c r="K48">
        <f>SUMIF(PoolPlan_PeakProj!$A$25:$A$36,SAF!$A$2,PoolPlan_PeakProj!K$25:K$36)</f>
        <v>45952</v>
      </c>
      <c r="L48">
        <f>SUMIF(PoolPlan_PeakProj!$A$25:$A$36,SAF!$A$2,PoolPlan_PeakProj!L$25:L$36)</f>
        <v>46878</v>
      </c>
      <c r="M48">
        <f>SUMIF(PoolPlan_PeakProj!$A$25:$A$36,SAF!$A$2,PoolPlan_PeakProj!M$25:M$36)</f>
        <v>47713</v>
      </c>
      <c r="N48">
        <f>SUMIF(PoolPlan_PeakProj!$A$25:$A$36,SAF!$A$2,PoolPlan_PeakProj!N$25:N$36)</f>
        <v>48593</v>
      </c>
      <c r="O48">
        <f>SUMIF(PoolPlan_PeakProj!$A$25:$A$36,SAF!$A$2,PoolPlan_PeakProj!O$25:O$36)</f>
        <v>49398</v>
      </c>
      <c r="P48">
        <f>SUMIF(PoolPlan_PeakProj!$A$25:$A$36,SAF!$A$2,PoolPlan_PeakProj!P$25:P$36)</f>
        <v>50316</v>
      </c>
      <c r="Q48">
        <f>SUMIF(PoolPlan_PeakProj!$A$25:$A$36,SAF!$A$2,PoolPlan_PeakProj!Q$25:Q$36)</f>
        <v>51166</v>
      </c>
      <c r="R48">
        <f>SUMIF(PoolPlan_PeakProj!$A$25:$A$36,SAF!$A$2,PoolPlan_PeakProj!R$25:R$36)</f>
        <v>51797</v>
      </c>
      <c r="S48">
        <f>SUMIF(PoolPlan_PeakProj!$A$25:$A$36,SAF!$A$2,PoolPlan_PeakProj!S$25:S$36)</f>
        <v>52425</v>
      </c>
      <c r="T48">
        <f>SUMIF(PoolPlan_PeakProj!$A$25:$A$36,SAF!$A$2,PoolPlan_PeakProj!T$25:T$36)</f>
        <v>53336</v>
      </c>
      <c r="U48">
        <f>SUMIF(PoolPlan_PeakProj!$A$25:$A$36,SAF!$A$2,PoolPlan_PeakProj!U$25:U$36)</f>
        <v>53878</v>
      </c>
    </row>
    <row r="49" spans="1:21" x14ac:dyDescent="0.2">
      <c r="A49" s="1" t="s">
        <v>11</v>
      </c>
      <c r="B49" s="1"/>
      <c r="D49" s="18">
        <f>D48/C48-1</f>
        <v>4.8034934497816595E-2</v>
      </c>
      <c r="E49" s="18">
        <f t="shared" ref="E49:U49" si="71">E48/D48-1</f>
        <v>5.631808278867112E-2</v>
      </c>
      <c r="F49" s="18">
        <f t="shared" si="71"/>
        <v>2.6735072702897877E-2</v>
      </c>
      <c r="G49" s="18">
        <f t="shared" si="71"/>
        <v>4.1431261770244809E-2</v>
      </c>
      <c r="H49" s="18">
        <f t="shared" si="71"/>
        <v>3.4912597950572666E-2</v>
      </c>
      <c r="I49" s="18">
        <f t="shared" si="71"/>
        <v>2.5207930480162233E-2</v>
      </c>
      <c r="J49" s="18">
        <f t="shared" si="71"/>
        <v>2.2565617543460981E-2</v>
      </c>
      <c r="K49" s="18">
        <f t="shared" si="71"/>
        <v>2.1200942264100631E-2</v>
      </c>
      <c r="L49" s="18">
        <f t="shared" si="71"/>
        <v>2.0151462395543218E-2</v>
      </c>
      <c r="M49" s="18">
        <f t="shared" si="71"/>
        <v>1.7812193352958694E-2</v>
      </c>
      <c r="N49" s="18">
        <f t="shared" si="71"/>
        <v>1.8443610755978446E-2</v>
      </c>
      <c r="O49" s="18">
        <f t="shared" si="71"/>
        <v>1.6566172082398634E-2</v>
      </c>
      <c r="P49" s="18">
        <f t="shared" si="71"/>
        <v>1.8583748329891847E-2</v>
      </c>
      <c r="Q49" s="18">
        <f t="shared" si="71"/>
        <v>1.689323475633997E-2</v>
      </c>
      <c r="R49" s="18">
        <f t="shared" si="71"/>
        <v>1.2332408239846826E-2</v>
      </c>
      <c r="S49" s="18">
        <f t="shared" si="71"/>
        <v>1.2124254300442061E-2</v>
      </c>
      <c r="T49" s="18">
        <f t="shared" si="71"/>
        <v>1.737720553171207E-2</v>
      </c>
      <c r="U49" s="18">
        <f t="shared" si="71"/>
        <v>1.016199190040501E-2</v>
      </c>
    </row>
    <row r="50" spans="1:21" x14ac:dyDescent="0.2">
      <c r="A50" s="1" t="s">
        <v>70</v>
      </c>
      <c r="B50" s="1" t="s">
        <v>12</v>
      </c>
      <c r="D50" s="18">
        <f t="shared" ref="D50:T50" si="72">D41/(D46*8.76)</f>
        <v>0.75337206382151412</v>
      </c>
      <c r="E50" s="18">
        <f t="shared" si="72"/>
        <v>0.74943434210663651</v>
      </c>
      <c r="F50" s="18">
        <f t="shared" si="72"/>
        <v>0.74529985189837955</v>
      </c>
      <c r="G50" s="18">
        <f t="shared" si="72"/>
        <v>0.74042536446707274</v>
      </c>
      <c r="H50" s="18">
        <f t="shared" si="72"/>
        <v>0.73591621447273559</v>
      </c>
      <c r="I50" s="18">
        <f t="shared" si="72"/>
        <v>0.73481700005285311</v>
      </c>
      <c r="J50" s="18">
        <f t="shared" si="72"/>
        <v>0.73221264281259801</v>
      </c>
      <c r="K50" s="18">
        <f t="shared" si="72"/>
        <v>0.73078177040249781</v>
      </c>
      <c r="L50" s="18">
        <f t="shared" si="72"/>
        <v>0.72710346960647165</v>
      </c>
      <c r="M50" s="18">
        <f t="shared" si="72"/>
        <v>0.72755343598889533</v>
      </c>
      <c r="N50" s="18">
        <f t="shared" si="72"/>
        <v>0.72646275111475189</v>
      </c>
      <c r="O50" s="18">
        <f t="shared" si="72"/>
        <v>0.72578762826827203</v>
      </c>
      <c r="P50" s="18">
        <f t="shared" si="72"/>
        <v>0.72448591463425727</v>
      </c>
      <c r="Q50" s="18">
        <f t="shared" si="72"/>
        <v>0.72493217824794332</v>
      </c>
      <c r="R50" s="18">
        <f t="shared" si="72"/>
        <v>0.725279585063486</v>
      </c>
      <c r="S50" s="18">
        <f t="shared" si="72"/>
        <v>0.72472249754347817</v>
      </c>
      <c r="T50" s="18">
        <f t="shared" si="72"/>
        <v>0.72286895650504124</v>
      </c>
    </row>
    <row r="51" spans="1:21" x14ac:dyDescent="0.2">
      <c r="A51" s="1" t="s">
        <v>41</v>
      </c>
      <c r="C51" s="18">
        <f t="shared" ref="C51:T51" si="73">C43/(C48*8.76)</f>
        <v>0.77421416081603489</v>
      </c>
      <c r="D51" s="18">
        <f t="shared" si="73"/>
        <v>0.77401736950487954</v>
      </c>
      <c r="E51" s="18">
        <f t="shared" si="73"/>
        <v>0.77388242750782499</v>
      </c>
      <c r="F51" s="18">
        <f t="shared" si="73"/>
        <v>0.77376192073196948</v>
      </c>
      <c r="G51" s="18">
        <f t="shared" si="73"/>
        <v>0.77380883571277193</v>
      </c>
      <c r="H51" s="18">
        <f t="shared" si="73"/>
        <v>0.77381319016946248</v>
      </c>
      <c r="I51" s="18">
        <f t="shared" si="73"/>
        <v>0.77381202530430593</v>
      </c>
      <c r="J51" s="18">
        <f t="shared" si="73"/>
        <v>0.77378882998554377</v>
      </c>
      <c r="K51" s="18">
        <f t="shared" si="73"/>
        <v>0.77377247332137722</v>
      </c>
      <c r="L51" s="18">
        <f t="shared" si="73"/>
        <v>0.77376113377754485</v>
      </c>
      <c r="M51" s="18">
        <f t="shared" si="73"/>
        <v>0.77374258396403073</v>
      </c>
      <c r="N51" s="18">
        <f t="shared" si="73"/>
        <v>0.77373876219276183</v>
      </c>
      <c r="O51" s="18">
        <f t="shared" si="73"/>
        <v>0.77374280399942252</v>
      </c>
      <c r="P51" s="18">
        <f t="shared" si="73"/>
        <v>0.77369699299513839</v>
      </c>
      <c r="Q51" s="18">
        <f t="shared" si="73"/>
        <v>0.7736948783590416</v>
      </c>
      <c r="R51" s="18">
        <f t="shared" si="73"/>
        <v>0.77368243766519862</v>
      </c>
      <c r="S51" s="18">
        <f t="shared" si="73"/>
        <v>0.77366013199983452</v>
      </c>
      <c r="T51" s="18">
        <f t="shared" si="73"/>
        <v>0.77370917413033458</v>
      </c>
    </row>
    <row r="52" spans="1:21" x14ac:dyDescent="0.2">
      <c r="A52" s="1" t="s">
        <v>114</v>
      </c>
      <c r="C52" s="18"/>
      <c r="D52" s="16">
        <f>D51/C51-1</f>
        <v>-2.5418200946869529E-4</v>
      </c>
      <c r="E52" s="16">
        <f t="shared" ref="E52:T52" si="74">E51/D51-1</f>
        <v>-1.7433975304825822E-4</v>
      </c>
      <c r="F52" s="16">
        <f t="shared" si="74"/>
        <v>-1.5571716267492874E-4</v>
      </c>
      <c r="G52" s="16">
        <f t="shared" si="74"/>
        <v>6.063232054387413E-5</v>
      </c>
      <c r="H52" s="16">
        <f t="shared" si="74"/>
        <v>5.6273028810061021E-6</v>
      </c>
      <c r="I52" s="16">
        <f t="shared" si="74"/>
        <v>-1.5053570698864149E-6</v>
      </c>
      <c r="J52" s="16">
        <f t="shared" si="74"/>
        <v>-2.9975391960368469E-5</v>
      </c>
      <c r="K52" s="16">
        <f t="shared" si="74"/>
        <v>-2.113840822293156E-5</v>
      </c>
      <c r="L52" s="16">
        <f t="shared" si="74"/>
        <v>-1.4654881406839237E-5</v>
      </c>
      <c r="M52" s="16">
        <f t="shared" si="74"/>
        <v>-2.3973565877577485E-5</v>
      </c>
      <c r="N52" s="16">
        <f t="shared" si="74"/>
        <v>-4.9393316952084376E-6</v>
      </c>
      <c r="O52" s="16">
        <f t="shared" si="74"/>
        <v>5.2237355270268182E-6</v>
      </c>
      <c r="P52" s="16">
        <f t="shared" si="74"/>
        <v>-5.9207018207274587E-5</v>
      </c>
      <c r="Q52" s="16">
        <f t="shared" si="74"/>
        <v>-2.7331579622869029E-6</v>
      </c>
      <c r="R52" s="16">
        <f t="shared" si="74"/>
        <v>-1.6079586657391509E-5</v>
      </c>
      <c r="S52" s="16">
        <f t="shared" si="74"/>
        <v>-2.8830517894928853E-5</v>
      </c>
      <c r="T52" s="16">
        <f t="shared" si="74"/>
        <v>6.3389760531329387E-5</v>
      </c>
    </row>
    <row r="53" spans="1:21" ht="15" x14ac:dyDescent="0.25">
      <c r="A53" s="1" t="s">
        <v>84</v>
      </c>
      <c r="B53" s="1" t="s">
        <v>10</v>
      </c>
      <c r="C53" s="38">
        <f>VLOOKUP($A$2,AR2008_Stats!$B$4:$O$15,AR2008_Stats!E$1,FALSE)</f>
        <v>38384</v>
      </c>
    </row>
    <row r="54" spans="1:21" ht="15" x14ac:dyDescent="0.25">
      <c r="A54" s="1" t="s">
        <v>83</v>
      </c>
      <c r="B54" s="1" t="s">
        <v>10</v>
      </c>
      <c r="C54" s="74">
        <f>VLOOKUP($A$2,'[1]Total Existing Capacity'!$A$3:$J$14,5,FALSE)</f>
        <v>41388</v>
      </c>
    </row>
    <row r="56" spans="1:21" x14ac:dyDescent="0.2">
      <c r="A56" s="3" t="s">
        <v>71</v>
      </c>
    </row>
    <row r="57" spans="1:21" x14ac:dyDescent="0.2">
      <c r="A57" s="2" t="s">
        <v>72</v>
      </c>
    </row>
    <row r="58" spans="1:21" x14ac:dyDescent="0.2">
      <c r="A58" s="2" t="s">
        <v>73</v>
      </c>
    </row>
    <row r="60" spans="1:21" x14ac:dyDescent="0.2">
      <c r="A60" s="3" t="s">
        <v>80</v>
      </c>
    </row>
    <row r="61" spans="1:21" ht="15" x14ac:dyDescent="0.25">
      <c r="A61" t="s">
        <v>13</v>
      </c>
      <c r="B61" s="2" t="s">
        <v>97</v>
      </c>
    </row>
    <row r="62" spans="1:21" ht="15" x14ac:dyDescent="0.25">
      <c r="A62" t="s">
        <v>14</v>
      </c>
      <c r="B62" s="2" t="s">
        <v>98</v>
      </c>
    </row>
    <row r="63" spans="1:21" ht="15" x14ac:dyDescent="0.25">
      <c r="A63" t="s">
        <v>15</v>
      </c>
      <c r="B63" s="2" t="s">
        <v>32</v>
      </c>
    </row>
    <row r="64" spans="1:21" ht="15" x14ac:dyDescent="0.25">
      <c r="A64" t="s">
        <v>16</v>
      </c>
      <c r="B64" s="2" t="s">
        <v>99</v>
      </c>
    </row>
    <row r="65" spans="1:2" ht="15" x14ac:dyDescent="0.25">
      <c r="A65" t="s">
        <v>17</v>
      </c>
      <c r="B65" s="2" t="s">
        <v>100</v>
      </c>
    </row>
    <row r="66" spans="1:2" ht="15" x14ac:dyDescent="0.25">
      <c r="A66" t="s">
        <v>18</v>
      </c>
      <c r="B66" s="2" t="s">
        <v>101</v>
      </c>
    </row>
    <row r="67" spans="1:2" ht="15" x14ac:dyDescent="0.25">
      <c r="A67" t="s">
        <v>19</v>
      </c>
      <c r="B67" s="2" t="s">
        <v>102</v>
      </c>
    </row>
    <row r="68" spans="1:2" ht="15" x14ac:dyDescent="0.25">
      <c r="A68" t="s">
        <v>21</v>
      </c>
      <c r="B68" s="2" t="s">
        <v>103</v>
      </c>
    </row>
    <row r="69" spans="1:2" ht="15" x14ac:dyDescent="0.25">
      <c r="A69" t="s">
        <v>22</v>
      </c>
      <c r="B69" s="2" t="s">
        <v>104</v>
      </c>
    </row>
    <row r="70" spans="1:2" ht="15" x14ac:dyDescent="0.25">
      <c r="A70" t="s">
        <v>23</v>
      </c>
      <c r="B70" s="2" t="s">
        <v>105</v>
      </c>
    </row>
    <row r="71" spans="1:2" ht="15" x14ac:dyDescent="0.25">
      <c r="A71" t="s">
        <v>24</v>
      </c>
      <c r="B71" s="2" t="s">
        <v>106</v>
      </c>
    </row>
    <row r="72" spans="1:2" ht="15" x14ac:dyDescent="0.25">
      <c r="A72" t="s">
        <v>20</v>
      </c>
      <c r="B72" s="2" t="s">
        <v>107</v>
      </c>
    </row>
  </sheetData>
  <dataValidations count="4">
    <dataValidation type="list" allowBlank="1" showInputMessage="1" showErrorMessage="1" sqref="B19">
      <formula1>$B$61:$B$72</formula1>
    </dataValidation>
    <dataValidation type="list" allowBlank="1" showInputMessage="1" showErrorMessage="1" sqref="B13:B18">
      <formula1>$B$61:$B$73</formula1>
    </dataValidation>
    <dataValidation type="list" allowBlank="1" showInputMessage="1" showErrorMessage="1" sqref="B3">
      <formula1>$A$57:$A$58</formula1>
    </dataValidation>
    <dataValidation type="list" allowBlank="1" showInputMessage="1" showErrorMessage="1" sqref="A2">
      <formula1>$A$61:$A$72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AD71"/>
  <sheetViews>
    <sheetView workbookViewId="0"/>
  </sheetViews>
  <sheetFormatPr defaultRowHeight="12.75" x14ac:dyDescent="0.2"/>
  <cols>
    <col min="1" max="1" width="66.140625" style="2" customWidth="1"/>
    <col min="2" max="2" width="9.140625" style="2"/>
    <col min="3" max="26" width="11.28515625" style="2" bestFit="1" customWidth="1"/>
    <col min="27" max="27" width="9.85546875" style="2" customWidth="1"/>
    <col min="28" max="253" width="9.140625" style="2"/>
    <col min="254" max="254" width="66.140625" style="2" customWidth="1"/>
    <col min="255" max="257" width="9.140625" style="2"/>
    <col min="258" max="258" width="9.7109375" style="2" customWidth="1"/>
    <col min="259" max="282" width="11.28515625" style="2" bestFit="1" customWidth="1"/>
    <col min="283" max="509" width="9.140625" style="2"/>
    <col min="510" max="510" width="66.140625" style="2" customWidth="1"/>
    <col min="511" max="513" width="9.140625" style="2"/>
    <col min="514" max="514" width="9.7109375" style="2" customWidth="1"/>
    <col min="515" max="538" width="11.28515625" style="2" bestFit="1" customWidth="1"/>
    <col min="539" max="765" width="9.140625" style="2"/>
    <col min="766" max="766" width="66.140625" style="2" customWidth="1"/>
    <col min="767" max="769" width="9.140625" style="2"/>
    <col min="770" max="770" width="9.7109375" style="2" customWidth="1"/>
    <col min="771" max="794" width="11.28515625" style="2" bestFit="1" customWidth="1"/>
    <col min="795" max="1021" width="9.140625" style="2"/>
    <col min="1022" max="1022" width="66.140625" style="2" customWidth="1"/>
    <col min="1023" max="1025" width="9.140625" style="2"/>
    <col min="1026" max="1026" width="9.7109375" style="2" customWidth="1"/>
    <col min="1027" max="1050" width="11.28515625" style="2" bestFit="1" customWidth="1"/>
    <col min="1051" max="1277" width="9.140625" style="2"/>
    <col min="1278" max="1278" width="66.140625" style="2" customWidth="1"/>
    <col min="1279" max="1281" width="9.140625" style="2"/>
    <col min="1282" max="1282" width="9.7109375" style="2" customWidth="1"/>
    <col min="1283" max="1306" width="11.28515625" style="2" bestFit="1" customWidth="1"/>
    <col min="1307" max="1533" width="9.140625" style="2"/>
    <col min="1534" max="1534" width="66.140625" style="2" customWidth="1"/>
    <col min="1535" max="1537" width="9.140625" style="2"/>
    <col min="1538" max="1538" width="9.7109375" style="2" customWidth="1"/>
    <col min="1539" max="1562" width="11.28515625" style="2" bestFit="1" customWidth="1"/>
    <col min="1563" max="1789" width="9.140625" style="2"/>
    <col min="1790" max="1790" width="66.140625" style="2" customWidth="1"/>
    <col min="1791" max="1793" width="9.140625" style="2"/>
    <col min="1794" max="1794" width="9.7109375" style="2" customWidth="1"/>
    <col min="1795" max="1818" width="11.28515625" style="2" bestFit="1" customWidth="1"/>
    <col min="1819" max="2045" width="9.140625" style="2"/>
    <col min="2046" max="2046" width="66.140625" style="2" customWidth="1"/>
    <col min="2047" max="2049" width="9.140625" style="2"/>
    <col min="2050" max="2050" width="9.7109375" style="2" customWidth="1"/>
    <col min="2051" max="2074" width="11.28515625" style="2" bestFit="1" customWidth="1"/>
    <col min="2075" max="2301" width="9.140625" style="2"/>
    <col min="2302" max="2302" width="66.140625" style="2" customWidth="1"/>
    <col min="2303" max="2305" width="9.140625" style="2"/>
    <col min="2306" max="2306" width="9.7109375" style="2" customWidth="1"/>
    <col min="2307" max="2330" width="11.28515625" style="2" bestFit="1" customWidth="1"/>
    <col min="2331" max="2557" width="9.140625" style="2"/>
    <col min="2558" max="2558" width="66.140625" style="2" customWidth="1"/>
    <col min="2559" max="2561" width="9.140625" style="2"/>
    <col min="2562" max="2562" width="9.7109375" style="2" customWidth="1"/>
    <col min="2563" max="2586" width="11.28515625" style="2" bestFit="1" customWidth="1"/>
    <col min="2587" max="2813" width="9.140625" style="2"/>
    <col min="2814" max="2814" width="66.140625" style="2" customWidth="1"/>
    <col min="2815" max="2817" width="9.140625" style="2"/>
    <col min="2818" max="2818" width="9.7109375" style="2" customWidth="1"/>
    <col min="2819" max="2842" width="11.28515625" style="2" bestFit="1" customWidth="1"/>
    <col min="2843" max="3069" width="9.140625" style="2"/>
    <col min="3070" max="3070" width="66.140625" style="2" customWidth="1"/>
    <col min="3071" max="3073" width="9.140625" style="2"/>
    <col min="3074" max="3074" width="9.7109375" style="2" customWidth="1"/>
    <col min="3075" max="3098" width="11.28515625" style="2" bestFit="1" customWidth="1"/>
    <col min="3099" max="3325" width="9.140625" style="2"/>
    <col min="3326" max="3326" width="66.140625" style="2" customWidth="1"/>
    <col min="3327" max="3329" width="9.140625" style="2"/>
    <col min="3330" max="3330" width="9.7109375" style="2" customWidth="1"/>
    <col min="3331" max="3354" width="11.28515625" style="2" bestFit="1" customWidth="1"/>
    <col min="3355" max="3581" width="9.140625" style="2"/>
    <col min="3582" max="3582" width="66.140625" style="2" customWidth="1"/>
    <col min="3583" max="3585" width="9.140625" style="2"/>
    <col min="3586" max="3586" width="9.7109375" style="2" customWidth="1"/>
    <col min="3587" max="3610" width="11.28515625" style="2" bestFit="1" customWidth="1"/>
    <col min="3611" max="3837" width="9.140625" style="2"/>
    <col min="3838" max="3838" width="66.140625" style="2" customWidth="1"/>
    <col min="3839" max="3841" width="9.140625" style="2"/>
    <col min="3842" max="3842" width="9.7109375" style="2" customWidth="1"/>
    <col min="3843" max="3866" width="11.28515625" style="2" bestFit="1" customWidth="1"/>
    <col min="3867" max="4093" width="9.140625" style="2"/>
    <col min="4094" max="4094" width="66.140625" style="2" customWidth="1"/>
    <col min="4095" max="4097" width="9.140625" style="2"/>
    <col min="4098" max="4098" width="9.7109375" style="2" customWidth="1"/>
    <col min="4099" max="4122" width="11.28515625" style="2" bestFit="1" customWidth="1"/>
    <col min="4123" max="4349" width="9.140625" style="2"/>
    <col min="4350" max="4350" width="66.140625" style="2" customWidth="1"/>
    <col min="4351" max="4353" width="9.140625" style="2"/>
    <col min="4354" max="4354" width="9.7109375" style="2" customWidth="1"/>
    <col min="4355" max="4378" width="11.28515625" style="2" bestFit="1" customWidth="1"/>
    <col min="4379" max="4605" width="9.140625" style="2"/>
    <col min="4606" max="4606" width="66.140625" style="2" customWidth="1"/>
    <col min="4607" max="4609" width="9.140625" style="2"/>
    <col min="4610" max="4610" width="9.7109375" style="2" customWidth="1"/>
    <col min="4611" max="4634" width="11.28515625" style="2" bestFit="1" customWidth="1"/>
    <col min="4635" max="4861" width="9.140625" style="2"/>
    <col min="4862" max="4862" width="66.140625" style="2" customWidth="1"/>
    <col min="4863" max="4865" width="9.140625" style="2"/>
    <col min="4866" max="4866" width="9.7109375" style="2" customWidth="1"/>
    <col min="4867" max="4890" width="11.28515625" style="2" bestFit="1" customWidth="1"/>
    <col min="4891" max="5117" width="9.140625" style="2"/>
    <col min="5118" max="5118" width="66.140625" style="2" customWidth="1"/>
    <col min="5119" max="5121" width="9.140625" style="2"/>
    <col min="5122" max="5122" width="9.7109375" style="2" customWidth="1"/>
    <col min="5123" max="5146" width="11.28515625" style="2" bestFit="1" customWidth="1"/>
    <col min="5147" max="5373" width="9.140625" style="2"/>
    <col min="5374" max="5374" width="66.140625" style="2" customWidth="1"/>
    <col min="5375" max="5377" width="9.140625" style="2"/>
    <col min="5378" max="5378" width="9.7109375" style="2" customWidth="1"/>
    <col min="5379" max="5402" width="11.28515625" style="2" bestFit="1" customWidth="1"/>
    <col min="5403" max="5629" width="9.140625" style="2"/>
    <col min="5630" max="5630" width="66.140625" style="2" customWidth="1"/>
    <col min="5631" max="5633" width="9.140625" style="2"/>
    <col min="5634" max="5634" width="9.7109375" style="2" customWidth="1"/>
    <col min="5635" max="5658" width="11.28515625" style="2" bestFit="1" customWidth="1"/>
    <col min="5659" max="5885" width="9.140625" style="2"/>
    <col min="5886" max="5886" width="66.140625" style="2" customWidth="1"/>
    <col min="5887" max="5889" width="9.140625" style="2"/>
    <col min="5890" max="5890" width="9.7109375" style="2" customWidth="1"/>
    <col min="5891" max="5914" width="11.28515625" style="2" bestFit="1" customWidth="1"/>
    <col min="5915" max="6141" width="9.140625" style="2"/>
    <col min="6142" max="6142" width="66.140625" style="2" customWidth="1"/>
    <col min="6143" max="6145" width="9.140625" style="2"/>
    <col min="6146" max="6146" width="9.7109375" style="2" customWidth="1"/>
    <col min="6147" max="6170" width="11.28515625" style="2" bestFit="1" customWidth="1"/>
    <col min="6171" max="6397" width="9.140625" style="2"/>
    <col min="6398" max="6398" width="66.140625" style="2" customWidth="1"/>
    <col min="6399" max="6401" width="9.140625" style="2"/>
    <col min="6402" max="6402" width="9.7109375" style="2" customWidth="1"/>
    <col min="6403" max="6426" width="11.28515625" style="2" bestFit="1" customWidth="1"/>
    <col min="6427" max="6653" width="9.140625" style="2"/>
    <col min="6654" max="6654" width="66.140625" style="2" customWidth="1"/>
    <col min="6655" max="6657" width="9.140625" style="2"/>
    <col min="6658" max="6658" width="9.7109375" style="2" customWidth="1"/>
    <col min="6659" max="6682" width="11.28515625" style="2" bestFit="1" customWidth="1"/>
    <col min="6683" max="6909" width="9.140625" style="2"/>
    <col min="6910" max="6910" width="66.140625" style="2" customWidth="1"/>
    <col min="6911" max="6913" width="9.140625" style="2"/>
    <col min="6914" max="6914" width="9.7109375" style="2" customWidth="1"/>
    <col min="6915" max="6938" width="11.28515625" style="2" bestFit="1" customWidth="1"/>
    <col min="6939" max="7165" width="9.140625" style="2"/>
    <col min="7166" max="7166" width="66.140625" style="2" customWidth="1"/>
    <col min="7167" max="7169" width="9.140625" style="2"/>
    <col min="7170" max="7170" width="9.7109375" style="2" customWidth="1"/>
    <col min="7171" max="7194" width="11.28515625" style="2" bestFit="1" customWidth="1"/>
    <col min="7195" max="7421" width="9.140625" style="2"/>
    <col min="7422" max="7422" width="66.140625" style="2" customWidth="1"/>
    <col min="7423" max="7425" width="9.140625" style="2"/>
    <col min="7426" max="7426" width="9.7109375" style="2" customWidth="1"/>
    <col min="7427" max="7450" width="11.28515625" style="2" bestFit="1" customWidth="1"/>
    <col min="7451" max="7677" width="9.140625" style="2"/>
    <col min="7678" max="7678" width="66.140625" style="2" customWidth="1"/>
    <col min="7679" max="7681" width="9.140625" style="2"/>
    <col min="7682" max="7682" width="9.7109375" style="2" customWidth="1"/>
    <col min="7683" max="7706" width="11.28515625" style="2" bestFit="1" customWidth="1"/>
    <col min="7707" max="7933" width="9.140625" style="2"/>
    <col min="7934" max="7934" width="66.140625" style="2" customWidth="1"/>
    <col min="7935" max="7937" width="9.140625" style="2"/>
    <col min="7938" max="7938" width="9.7109375" style="2" customWidth="1"/>
    <col min="7939" max="7962" width="11.28515625" style="2" bestFit="1" customWidth="1"/>
    <col min="7963" max="8189" width="9.140625" style="2"/>
    <col min="8190" max="8190" width="66.140625" style="2" customWidth="1"/>
    <col min="8191" max="8193" width="9.140625" style="2"/>
    <col min="8194" max="8194" width="9.7109375" style="2" customWidth="1"/>
    <col min="8195" max="8218" width="11.28515625" style="2" bestFit="1" customWidth="1"/>
    <col min="8219" max="8445" width="9.140625" style="2"/>
    <col min="8446" max="8446" width="66.140625" style="2" customWidth="1"/>
    <col min="8447" max="8449" width="9.140625" style="2"/>
    <col min="8450" max="8450" width="9.7109375" style="2" customWidth="1"/>
    <col min="8451" max="8474" width="11.28515625" style="2" bestFit="1" customWidth="1"/>
    <col min="8475" max="8701" width="9.140625" style="2"/>
    <col min="8702" max="8702" width="66.140625" style="2" customWidth="1"/>
    <col min="8703" max="8705" width="9.140625" style="2"/>
    <col min="8706" max="8706" width="9.7109375" style="2" customWidth="1"/>
    <col min="8707" max="8730" width="11.28515625" style="2" bestFit="1" customWidth="1"/>
    <col min="8731" max="8957" width="9.140625" style="2"/>
    <col min="8958" max="8958" width="66.140625" style="2" customWidth="1"/>
    <col min="8959" max="8961" width="9.140625" style="2"/>
    <col min="8962" max="8962" width="9.7109375" style="2" customWidth="1"/>
    <col min="8963" max="8986" width="11.28515625" style="2" bestFit="1" customWidth="1"/>
    <col min="8987" max="9213" width="9.140625" style="2"/>
    <col min="9214" max="9214" width="66.140625" style="2" customWidth="1"/>
    <col min="9215" max="9217" width="9.140625" style="2"/>
    <col min="9218" max="9218" width="9.7109375" style="2" customWidth="1"/>
    <col min="9219" max="9242" width="11.28515625" style="2" bestFit="1" customWidth="1"/>
    <col min="9243" max="9469" width="9.140625" style="2"/>
    <col min="9470" max="9470" width="66.140625" style="2" customWidth="1"/>
    <col min="9471" max="9473" width="9.140625" style="2"/>
    <col min="9474" max="9474" width="9.7109375" style="2" customWidth="1"/>
    <col min="9475" max="9498" width="11.28515625" style="2" bestFit="1" customWidth="1"/>
    <col min="9499" max="9725" width="9.140625" style="2"/>
    <col min="9726" max="9726" width="66.140625" style="2" customWidth="1"/>
    <col min="9727" max="9729" width="9.140625" style="2"/>
    <col min="9730" max="9730" width="9.7109375" style="2" customWidth="1"/>
    <col min="9731" max="9754" width="11.28515625" style="2" bestFit="1" customWidth="1"/>
    <col min="9755" max="9981" width="9.140625" style="2"/>
    <col min="9982" max="9982" width="66.140625" style="2" customWidth="1"/>
    <col min="9983" max="9985" width="9.140625" style="2"/>
    <col min="9986" max="9986" width="9.7109375" style="2" customWidth="1"/>
    <col min="9987" max="10010" width="11.28515625" style="2" bestFit="1" customWidth="1"/>
    <col min="10011" max="10237" width="9.140625" style="2"/>
    <col min="10238" max="10238" width="66.140625" style="2" customWidth="1"/>
    <col min="10239" max="10241" width="9.140625" style="2"/>
    <col min="10242" max="10242" width="9.7109375" style="2" customWidth="1"/>
    <col min="10243" max="10266" width="11.28515625" style="2" bestFit="1" customWidth="1"/>
    <col min="10267" max="10493" width="9.140625" style="2"/>
    <col min="10494" max="10494" width="66.140625" style="2" customWidth="1"/>
    <col min="10495" max="10497" width="9.140625" style="2"/>
    <col min="10498" max="10498" width="9.7109375" style="2" customWidth="1"/>
    <col min="10499" max="10522" width="11.28515625" style="2" bestFit="1" customWidth="1"/>
    <col min="10523" max="10749" width="9.140625" style="2"/>
    <col min="10750" max="10750" width="66.140625" style="2" customWidth="1"/>
    <col min="10751" max="10753" width="9.140625" style="2"/>
    <col min="10754" max="10754" width="9.7109375" style="2" customWidth="1"/>
    <col min="10755" max="10778" width="11.28515625" style="2" bestFit="1" customWidth="1"/>
    <col min="10779" max="11005" width="9.140625" style="2"/>
    <col min="11006" max="11006" width="66.140625" style="2" customWidth="1"/>
    <col min="11007" max="11009" width="9.140625" style="2"/>
    <col min="11010" max="11010" width="9.7109375" style="2" customWidth="1"/>
    <col min="11011" max="11034" width="11.28515625" style="2" bestFit="1" customWidth="1"/>
    <col min="11035" max="11261" width="9.140625" style="2"/>
    <col min="11262" max="11262" width="66.140625" style="2" customWidth="1"/>
    <col min="11263" max="11265" width="9.140625" style="2"/>
    <col min="11266" max="11266" width="9.7109375" style="2" customWidth="1"/>
    <col min="11267" max="11290" width="11.28515625" style="2" bestFit="1" customWidth="1"/>
    <col min="11291" max="11517" width="9.140625" style="2"/>
    <col min="11518" max="11518" width="66.140625" style="2" customWidth="1"/>
    <col min="11519" max="11521" width="9.140625" style="2"/>
    <col min="11522" max="11522" width="9.7109375" style="2" customWidth="1"/>
    <col min="11523" max="11546" width="11.28515625" style="2" bestFit="1" customWidth="1"/>
    <col min="11547" max="11773" width="9.140625" style="2"/>
    <col min="11774" max="11774" width="66.140625" style="2" customWidth="1"/>
    <col min="11775" max="11777" width="9.140625" style="2"/>
    <col min="11778" max="11778" width="9.7109375" style="2" customWidth="1"/>
    <col min="11779" max="11802" width="11.28515625" style="2" bestFit="1" customWidth="1"/>
    <col min="11803" max="12029" width="9.140625" style="2"/>
    <col min="12030" max="12030" width="66.140625" style="2" customWidth="1"/>
    <col min="12031" max="12033" width="9.140625" style="2"/>
    <col min="12034" max="12034" width="9.7109375" style="2" customWidth="1"/>
    <col min="12035" max="12058" width="11.28515625" style="2" bestFit="1" customWidth="1"/>
    <col min="12059" max="12285" width="9.140625" style="2"/>
    <col min="12286" max="12286" width="66.140625" style="2" customWidth="1"/>
    <col min="12287" max="12289" width="9.140625" style="2"/>
    <col min="12290" max="12290" width="9.7109375" style="2" customWidth="1"/>
    <col min="12291" max="12314" width="11.28515625" style="2" bestFit="1" customWidth="1"/>
    <col min="12315" max="12541" width="9.140625" style="2"/>
    <col min="12542" max="12542" width="66.140625" style="2" customWidth="1"/>
    <col min="12543" max="12545" width="9.140625" style="2"/>
    <col min="12546" max="12546" width="9.7109375" style="2" customWidth="1"/>
    <col min="12547" max="12570" width="11.28515625" style="2" bestFit="1" customWidth="1"/>
    <col min="12571" max="12797" width="9.140625" style="2"/>
    <col min="12798" max="12798" width="66.140625" style="2" customWidth="1"/>
    <col min="12799" max="12801" width="9.140625" style="2"/>
    <col min="12802" max="12802" width="9.7109375" style="2" customWidth="1"/>
    <col min="12803" max="12826" width="11.28515625" style="2" bestFit="1" customWidth="1"/>
    <col min="12827" max="13053" width="9.140625" style="2"/>
    <col min="13054" max="13054" width="66.140625" style="2" customWidth="1"/>
    <col min="13055" max="13057" width="9.140625" style="2"/>
    <col min="13058" max="13058" width="9.7109375" style="2" customWidth="1"/>
    <col min="13059" max="13082" width="11.28515625" style="2" bestFit="1" customWidth="1"/>
    <col min="13083" max="13309" width="9.140625" style="2"/>
    <col min="13310" max="13310" width="66.140625" style="2" customWidth="1"/>
    <col min="13311" max="13313" width="9.140625" style="2"/>
    <col min="13314" max="13314" width="9.7109375" style="2" customWidth="1"/>
    <col min="13315" max="13338" width="11.28515625" style="2" bestFit="1" customWidth="1"/>
    <col min="13339" max="13565" width="9.140625" style="2"/>
    <col min="13566" max="13566" width="66.140625" style="2" customWidth="1"/>
    <col min="13567" max="13569" width="9.140625" style="2"/>
    <col min="13570" max="13570" width="9.7109375" style="2" customWidth="1"/>
    <col min="13571" max="13594" width="11.28515625" style="2" bestFit="1" customWidth="1"/>
    <col min="13595" max="13821" width="9.140625" style="2"/>
    <col min="13822" max="13822" width="66.140625" style="2" customWidth="1"/>
    <col min="13823" max="13825" width="9.140625" style="2"/>
    <col min="13826" max="13826" width="9.7109375" style="2" customWidth="1"/>
    <col min="13827" max="13850" width="11.28515625" style="2" bestFit="1" customWidth="1"/>
    <col min="13851" max="14077" width="9.140625" style="2"/>
    <col min="14078" max="14078" width="66.140625" style="2" customWidth="1"/>
    <col min="14079" max="14081" width="9.140625" style="2"/>
    <col min="14082" max="14082" width="9.7109375" style="2" customWidth="1"/>
    <col min="14083" max="14106" width="11.28515625" style="2" bestFit="1" customWidth="1"/>
    <col min="14107" max="14333" width="9.140625" style="2"/>
    <col min="14334" max="14334" width="66.140625" style="2" customWidth="1"/>
    <col min="14335" max="14337" width="9.140625" style="2"/>
    <col min="14338" max="14338" width="9.7109375" style="2" customWidth="1"/>
    <col min="14339" max="14362" width="11.28515625" style="2" bestFit="1" customWidth="1"/>
    <col min="14363" max="14589" width="9.140625" style="2"/>
    <col min="14590" max="14590" width="66.140625" style="2" customWidth="1"/>
    <col min="14591" max="14593" width="9.140625" style="2"/>
    <col min="14594" max="14594" width="9.7109375" style="2" customWidth="1"/>
    <col min="14595" max="14618" width="11.28515625" style="2" bestFit="1" customWidth="1"/>
    <col min="14619" max="14845" width="9.140625" style="2"/>
    <col min="14846" max="14846" width="66.140625" style="2" customWidth="1"/>
    <col min="14847" max="14849" width="9.140625" style="2"/>
    <col min="14850" max="14850" width="9.7109375" style="2" customWidth="1"/>
    <col min="14851" max="14874" width="11.28515625" style="2" bestFit="1" customWidth="1"/>
    <col min="14875" max="15101" width="9.140625" style="2"/>
    <col min="15102" max="15102" width="66.140625" style="2" customWidth="1"/>
    <col min="15103" max="15105" width="9.140625" style="2"/>
    <col min="15106" max="15106" width="9.7109375" style="2" customWidth="1"/>
    <col min="15107" max="15130" width="11.28515625" style="2" bestFit="1" customWidth="1"/>
    <col min="15131" max="15357" width="9.140625" style="2"/>
    <col min="15358" max="15358" width="66.140625" style="2" customWidth="1"/>
    <col min="15359" max="15361" width="9.140625" style="2"/>
    <col min="15362" max="15362" width="9.7109375" style="2" customWidth="1"/>
    <col min="15363" max="15386" width="11.28515625" style="2" bestFit="1" customWidth="1"/>
    <col min="15387" max="15613" width="9.140625" style="2"/>
    <col min="15614" max="15614" width="66.140625" style="2" customWidth="1"/>
    <col min="15615" max="15617" width="9.140625" style="2"/>
    <col min="15618" max="15618" width="9.7109375" style="2" customWidth="1"/>
    <col min="15619" max="15642" width="11.28515625" style="2" bestFit="1" customWidth="1"/>
    <col min="15643" max="15869" width="9.140625" style="2"/>
    <col min="15870" max="15870" width="66.140625" style="2" customWidth="1"/>
    <col min="15871" max="15873" width="9.140625" style="2"/>
    <col min="15874" max="15874" width="9.7109375" style="2" customWidth="1"/>
    <col min="15875" max="15898" width="11.28515625" style="2" bestFit="1" customWidth="1"/>
    <col min="15899" max="16125" width="9.140625" style="2"/>
    <col min="16126" max="16126" width="66.140625" style="2" customWidth="1"/>
    <col min="16127" max="16129" width="9.140625" style="2"/>
    <col min="16130" max="16130" width="9.7109375" style="2" customWidth="1"/>
    <col min="16131" max="16154" width="11.28515625" style="2" bestFit="1" customWidth="1"/>
    <col min="16155" max="16384" width="9.140625" style="2"/>
  </cols>
  <sheetData>
    <row r="1" spans="1:30" ht="20.25" thickBot="1" x14ac:dyDescent="0.35">
      <c r="A1" s="20" t="s">
        <v>117</v>
      </c>
    </row>
    <row r="2" spans="1:30" ht="15.75" thickTop="1" x14ac:dyDescent="0.25">
      <c r="A2" s="21" t="s">
        <v>21</v>
      </c>
      <c r="B2" s="31" t="s">
        <v>103</v>
      </c>
      <c r="C2" s="1">
        <v>2007</v>
      </c>
      <c r="D2" s="1">
        <v>2008</v>
      </c>
      <c r="E2" s="1">
        <v>2009</v>
      </c>
      <c r="F2" s="1">
        <v>2010</v>
      </c>
      <c r="G2" s="1">
        <v>2011</v>
      </c>
      <c r="H2" s="1">
        <v>2012</v>
      </c>
      <c r="I2" s="1">
        <v>2013</v>
      </c>
      <c r="J2" s="1">
        <v>2014</v>
      </c>
      <c r="K2" s="1">
        <v>2015</v>
      </c>
      <c r="L2" s="1">
        <v>2016</v>
      </c>
      <c r="M2" s="1">
        <v>2017</v>
      </c>
      <c r="N2" s="1">
        <v>2018</v>
      </c>
      <c r="O2" s="1">
        <v>2019</v>
      </c>
      <c r="P2" s="1">
        <v>2020</v>
      </c>
      <c r="Q2" s="1">
        <v>2021</v>
      </c>
      <c r="R2" s="1">
        <v>2022</v>
      </c>
      <c r="S2" s="1">
        <v>2023</v>
      </c>
      <c r="T2" s="1">
        <v>2024</v>
      </c>
      <c r="U2" s="1">
        <v>2025</v>
      </c>
      <c r="V2" s="1">
        <v>2026</v>
      </c>
      <c r="W2" s="1">
        <v>2027</v>
      </c>
      <c r="X2" s="1">
        <v>2028</v>
      </c>
      <c r="Y2" s="1">
        <v>2029</v>
      </c>
      <c r="Z2" s="1">
        <v>2030</v>
      </c>
      <c r="AA2" s="1">
        <v>2031</v>
      </c>
      <c r="AB2" s="2">
        <v>2040</v>
      </c>
      <c r="AC2" s="2">
        <v>2050</v>
      </c>
      <c r="AD2" s="2">
        <v>2060</v>
      </c>
    </row>
    <row r="3" spans="1:30" ht="15" x14ac:dyDescent="0.25">
      <c r="A3" s="3" t="s">
        <v>0</v>
      </c>
      <c r="B3" s="31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0" ht="15" x14ac:dyDescent="0.25">
      <c r="A4" s="1" t="s">
        <v>38</v>
      </c>
      <c r="C4" s="24"/>
      <c r="D4" s="32">
        <f t="shared" ref="D4:U4" si="0">IF($B$3="AR 2008",D41,D43)</f>
        <v>5.1001821493624755E-2</v>
      </c>
      <c r="E4" s="32">
        <f t="shared" si="0"/>
        <v>4.4194107452339759E-2</v>
      </c>
      <c r="F4" s="32">
        <f t="shared" si="0"/>
        <v>4.7302904564315407E-2</v>
      </c>
      <c r="G4" s="32">
        <f t="shared" si="0"/>
        <v>4.5166402535657735E-2</v>
      </c>
      <c r="H4" s="32">
        <f t="shared" si="0"/>
        <v>5.0796057619408641E-2</v>
      </c>
      <c r="I4" s="32">
        <f t="shared" si="0"/>
        <v>4.1125541125541121E-2</v>
      </c>
      <c r="J4" s="32">
        <f t="shared" si="0"/>
        <v>3.5343035343035289E-2</v>
      </c>
      <c r="K4" s="32">
        <f t="shared" si="0"/>
        <v>2.6773761713520861E-2</v>
      </c>
      <c r="L4" s="32">
        <f t="shared" si="0"/>
        <v>2.5423728813559254E-2</v>
      </c>
      <c r="M4" s="32">
        <f t="shared" si="0"/>
        <v>3.2422123331214303E-2</v>
      </c>
      <c r="N4" s="32">
        <f t="shared" si="0"/>
        <v>2.0935960591133007E-2</v>
      </c>
      <c r="O4" s="32">
        <f t="shared" si="0"/>
        <v>2.4125452352231624E-2</v>
      </c>
      <c r="P4" s="32">
        <f t="shared" si="0"/>
        <v>1.2956419316843437E-2</v>
      </c>
      <c r="Q4" s="32">
        <f t="shared" si="0"/>
        <v>1.3372093023255704E-2</v>
      </c>
      <c r="R4" s="32">
        <f t="shared" si="0"/>
        <v>9.7532989099253786E-3</v>
      </c>
      <c r="S4" s="32">
        <f t="shared" si="0"/>
        <v>1.3068181818181923E-2</v>
      </c>
      <c r="T4" s="32">
        <f t="shared" si="0"/>
        <v>1.2338754907459393E-2</v>
      </c>
      <c r="U4" s="32">
        <f t="shared" si="0"/>
        <v>1.2742382271468067E-2</v>
      </c>
      <c r="V4" s="32">
        <f>U4</f>
        <v>1.2742382271468067E-2</v>
      </c>
      <c r="W4" s="32">
        <f t="shared" ref="W4:Z4" si="1">V4</f>
        <v>1.2742382271468067E-2</v>
      </c>
      <c r="X4" s="32">
        <f t="shared" si="1"/>
        <v>1.2742382271468067E-2</v>
      </c>
      <c r="Y4" s="32">
        <f t="shared" si="1"/>
        <v>1.2742382271468067E-2</v>
      </c>
      <c r="Z4" s="32">
        <f t="shared" si="1"/>
        <v>1.2742382271468067E-2</v>
      </c>
      <c r="AA4" s="4">
        <f>AB4</f>
        <v>1.5612099717029759E-2</v>
      </c>
      <c r="AB4" s="18">
        <f>SUMIF(PoolPlan_EnergyProj!$Q$1:$AB$1,B2,PoolPlan_EnergyProj!$Q$29:$AB$29)</f>
        <v>1.5612099717029759E-2</v>
      </c>
      <c r="AC4" s="18">
        <f>SUMIF(PoolPlan_EnergyProj!$Q$1:$AB$1,B2,PoolPlan_EnergyProj!$Q$30:$AB$30)</f>
        <v>1.783622332145457E-2</v>
      </c>
      <c r="AD4" s="86">
        <v>0</v>
      </c>
    </row>
    <row r="5" spans="1:30" ht="15" x14ac:dyDescent="0.25">
      <c r="A5" s="1" t="s">
        <v>115</v>
      </c>
      <c r="B5" s="5" t="s">
        <v>1</v>
      </c>
      <c r="C5" s="23">
        <f>C42*(1-C7)*(1-C10)</f>
        <v>933.3</v>
      </c>
      <c r="D5" s="7">
        <f t="shared" ref="D5:AA5" si="2">C5*(1+D4)</f>
        <v>980.9</v>
      </c>
      <c r="E5" s="7">
        <f t="shared" si="2"/>
        <v>1024.25</v>
      </c>
      <c r="F5" s="7">
        <f t="shared" si="2"/>
        <v>1072.7</v>
      </c>
      <c r="G5" s="7">
        <f t="shared" si="2"/>
        <v>1121.1500000000001</v>
      </c>
      <c r="H5" s="7">
        <f t="shared" si="2"/>
        <v>1178.1000000000001</v>
      </c>
      <c r="I5" s="7">
        <f t="shared" si="2"/>
        <v>1226.5500000000002</v>
      </c>
      <c r="J5" s="7">
        <f t="shared" si="2"/>
        <v>1269.9000000000001</v>
      </c>
      <c r="K5" s="7">
        <f t="shared" si="2"/>
        <v>1303.9000000000003</v>
      </c>
      <c r="L5" s="7">
        <f t="shared" si="2"/>
        <v>1337.0500000000002</v>
      </c>
      <c r="M5" s="7">
        <f t="shared" si="2"/>
        <v>1380.4000000000003</v>
      </c>
      <c r="N5" s="7">
        <f t="shared" si="2"/>
        <v>1409.3000000000004</v>
      </c>
      <c r="O5" s="7">
        <f t="shared" si="2"/>
        <v>1443.3000000000004</v>
      </c>
      <c r="P5" s="7">
        <f t="shared" si="2"/>
        <v>1462.0000000000005</v>
      </c>
      <c r="Q5" s="7">
        <f t="shared" si="2"/>
        <v>1481.5500000000004</v>
      </c>
      <c r="R5" s="7">
        <f t="shared" si="2"/>
        <v>1496.0000000000005</v>
      </c>
      <c r="S5" s="7">
        <f t="shared" si="2"/>
        <v>1515.5500000000006</v>
      </c>
      <c r="T5" s="7">
        <f t="shared" si="2"/>
        <v>1534.2500000000007</v>
      </c>
      <c r="U5" s="7">
        <f t="shared" si="2"/>
        <v>1553.8000000000006</v>
      </c>
      <c r="V5" s="7">
        <f t="shared" si="2"/>
        <v>1573.5991135734077</v>
      </c>
      <c r="W5" s="7">
        <f t="shared" si="2"/>
        <v>1593.6505150206035</v>
      </c>
      <c r="X5" s="7">
        <f t="shared" si="2"/>
        <v>1613.957419090118</v>
      </c>
      <c r="Y5" s="7">
        <f t="shared" si="2"/>
        <v>1634.5230814940362</v>
      </c>
      <c r="Z5" s="7">
        <f t="shared" si="2"/>
        <v>1655.3507994299712</v>
      </c>
      <c r="AA5" s="7">
        <f t="shared" si="2"/>
        <v>1681.1943011773367</v>
      </c>
      <c r="AB5" s="7">
        <f>AA5*(1+AB4)^9</f>
        <v>1932.7189543575425</v>
      </c>
      <c r="AC5" s="7">
        <f>AB5*(1+AC4)^10</f>
        <v>2306.4695907399296</v>
      </c>
      <c r="AD5" s="7">
        <f>AC5*(1+AD4)^10</f>
        <v>2306.4695907399296</v>
      </c>
    </row>
    <row r="6" spans="1:30" ht="15" x14ac:dyDescent="0.25">
      <c r="A6" s="3" t="s">
        <v>2</v>
      </c>
      <c r="B6" s="5"/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30" ht="15" x14ac:dyDescent="0.25">
      <c r="A7" s="1" t="s">
        <v>3</v>
      </c>
      <c r="C7" s="71">
        <v>0</v>
      </c>
      <c r="D7" s="33">
        <f t="shared" ref="D7:Y7" si="3">C7</f>
        <v>0</v>
      </c>
      <c r="E7" s="33">
        <f t="shared" si="3"/>
        <v>0</v>
      </c>
      <c r="F7" s="33">
        <f t="shared" si="3"/>
        <v>0</v>
      </c>
      <c r="G7" s="33">
        <f t="shared" si="3"/>
        <v>0</v>
      </c>
      <c r="H7" s="33">
        <f t="shared" si="3"/>
        <v>0</v>
      </c>
      <c r="I7" s="33">
        <f t="shared" si="3"/>
        <v>0</v>
      </c>
      <c r="J7" s="33">
        <f t="shared" si="3"/>
        <v>0</v>
      </c>
      <c r="K7" s="33">
        <f t="shared" si="3"/>
        <v>0</v>
      </c>
      <c r="L7" s="33">
        <f t="shared" si="3"/>
        <v>0</v>
      </c>
      <c r="M7" s="33">
        <f t="shared" si="3"/>
        <v>0</v>
      </c>
      <c r="N7" s="33">
        <f t="shared" si="3"/>
        <v>0</v>
      </c>
      <c r="O7" s="33">
        <f t="shared" si="3"/>
        <v>0</v>
      </c>
      <c r="P7" s="33">
        <f t="shared" si="3"/>
        <v>0</v>
      </c>
      <c r="Q7" s="33">
        <f t="shared" si="3"/>
        <v>0</v>
      </c>
      <c r="R7" s="33">
        <f t="shared" si="3"/>
        <v>0</v>
      </c>
      <c r="S7" s="33">
        <f t="shared" si="3"/>
        <v>0</v>
      </c>
      <c r="T7" s="33">
        <f t="shared" si="3"/>
        <v>0</v>
      </c>
      <c r="U7" s="33">
        <f t="shared" si="3"/>
        <v>0</v>
      </c>
      <c r="V7" s="33">
        <f t="shared" si="3"/>
        <v>0</v>
      </c>
      <c r="W7" s="33">
        <f t="shared" si="3"/>
        <v>0</v>
      </c>
      <c r="X7" s="33">
        <f t="shared" si="3"/>
        <v>0</v>
      </c>
      <c r="Y7" s="33">
        <f t="shared" si="3"/>
        <v>0</v>
      </c>
      <c r="Z7" s="33">
        <f>Y7</f>
        <v>0</v>
      </c>
      <c r="AA7" s="33">
        <f t="shared" ref="AA7:AC7" si="4">Z7</f>
        <v>0</v>
      </c>
      <c r="AB7" s="33">
        <f t="shared" si="4"/>
        <v>0</v>
      </c>
      <c r="AC7" s="33">
        <f t="shared" si="4"/>
        <v>0</v>
      </c>
    </row>
    <row r="8" spans="1:30" ht="15" x14ac:dyDescent="0.25">
      <c r="A8" s="1" t="s">
        <v>96</v>
      </c>
      <c r="B8" s="5" t="s">
        <v>1</v>
      </c>
      <c r="C8" s="8">
        <f t="shared" ref="C8:AC8" si="5">C5/(1-C7)</f>
        <v>933.3</v>
      </c>
      <c r="D8" s="8">
        <f t="shared" si="5"/>
        <v>980.9</v>
      </c>
      <c r="E8" s="8">
        <f t="shared" si="5"/>
        <v>1024.25</v>
      </c>
      <c r="F8" s="8">
        <f t="shared" si="5"/>
        <v>1072.7</v>
      </c>
      <c r="G8" s="8">
        <f t="shared" si="5"/>
        <v>1121.1500000000001</v>
      </c>
      <c r="H8" s="8">
        <f t="shared" si="5"/>
        <v>1178.1000000000001</v>
      </c>
      <c r="I8" s="8">
        <f t="shared" si="5"/>
        <v>1226.5500000000002</v>
      </c>
      <c r="J8" s="8">
        <f t="shared" si="5"/>
        <v>1269.9000000000001</v>
      </c>
      <c r="K8" s="8">
        <f t="shared" si="5"/>
        <v>1303.9000000000003</v>
      </c>
      <c r="L8" s="8">
        <f t="shared" si="5"/>
        <v>1337.0500000000002</v>
      </c>
      <c r="M8" s="8">
        <f t="shared" si="5"/>
        <v>1380.4000000000003</v>
      </c>
      <c r="N8" s="8">
        <f t="shared" si="5"/>
        <v>1409.3000000000004</v>
      </c>
      <c r="O8" s="8">
        <f t="shared" si="5"/>
        <v>1443.3000000000004</v>
      </c>
      <c r="P8" s="8">
        <f t="shared" si="5"/>
        <v>1462.0000000000005</v>
      </c>
      <c r="Q8" s="8">
        <f t="shared" si="5"/>
        <v>1481.5500000000004</v>
      </c>
      <c r="R8" s="8">
        <f t="shared" si="5"/>
        <v>1496.0000000000005</v>
      </c>
      <c r="S8" s="8">
        <f t="shared" si="5"/>
        <v>1515.5500000000006</v>
      </c>
      <c r="T8" s="8">
        <f t="shared" si="5"/>
        <v>1534.2500000000007</v>
      </c>
      <c r="U8" s="8">
        <f t="shared" si="5"/>
        <v>1553.8000000000006</v>
      </c>
      <c r="V8" s="8">
        <f t="shared" si="5"/>
        <v>1573.5991135734077</v>
      </c>
      <c r="W8" s="8">
        <f t="shared" si="5"/>
        <v>1593.6505150206035</v>
      </c>
      <c r="X8" s="8">
        <f t="shared" si="5"/>
        <v>1613.957419090118</v>
      </c>
      <c r="Y8" s="8">
        <f t="shared" si="5"/>
        <v>1634.5230814940362</v>
      </c>
      <c r="Z8" s="8">
        <f t="shared" si="5"/>
        <v>1655.3507994299712</v>
      </c>
      <c r="AA8" s="8">
        <f t="shared" si="5"/>
        <v>1681.1943011773367</v>
      </c>
      <c r="AB8" s="8">
        <f t="shared" si="5"/>
        <v>1932.7189543575425</v>
      </c>
      <c r="AC8" s="8">
        <f t="shared" si="5"/>
        <v>2306.4695907399296</v>
      </c>
    </row>
    <row r="9" spans="1:30" ht="15" x14ac:dyDescent="0.25">
      <c r="A9" s="3" t="s">
        <v>4</v>
      </c>
      <c r="B9" s="5"/>
      <c r="C9" s="11"/>
      <c r="D9" s="11"/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30" ht="15" x14ac:dyDescent="0.25">
      <c r="A10" s="1" t="s">
        <v>5</v>
      </c>
      <c r="C10" s="26">
        <v>0.15</v>
      </c>
      <c r="D10" s="32">
        <f>C10</f>
        <v>0.15</v>
      </c>
      <c r="E10" s="32">
        <f t="shared" ref="E10:AC10" si="6">D10</f>
        <v>0.15</v>
      </c>
      <c r="F10" s="32">
        <f t="shared" si="6"/>
        <v>0.15</v>
      </c>
      <c r="G10" s="32">
        <f t="shared" si="6"/>
        <v>0.15</v>
      </c>
      <c r="H10" s="32">
        <f t="shared" si="6"/>
        <v>0.15</v>
      </c>
      <c r="I10" s="32">
        <f t="shared" si="6"/>
        <v>0.15</v>
      </c>
      <c r="J10" s="32">
        <f t="shared" si="6"/>
        <v>0.15</v>
      </c>
      <c r="K10" s="32">
        <f t="shared" si="6"/>
        <v>0.15</v>
      </c>
      <c r="L10" s="32">
        <f t="shared" si="6"/>
        <v>0.15</v>
      </c>
      <c r="M10" s="32">
        <f t="shared" si="6"/>
        <v>0.15</v>
      </c>
      <c r="N10" s="32">
        <f t="shared" si="6"/>
        <v>0.15</v>
      </c>
      <c r="O10" s="32">
        <f t="shared" si="6"/>
        <v>0.15</v>
      </c>
      <c r="P10" s="32">
        <f t="shared" si="6"/>
        <v>0.15</v>
      </c>
      <c r="Q10" s="32">
        <f t="shared" si="6"/>
        <v>0.15</v>
      </c>
      <c r="R10" s="32">
        <f t="shared" si="6"/>
        <v>0.15</v>
      </c>
      <c r="S10" s="32">
        <f t="shared" si="6"/>
        <v>0.15</v>
      </c>
      <c r="T10" s="32">
        <f t="shared" si="6"/>
        <v>0.15</v>
      </c>
      <c r="U10" s="32">
        <f t="shared" si="6"/>
        <v>0.15</v>
      </c>
      <c r="V10" s="32">
        <f t="shared" si="6"/>
        <v>0.15</v>
      </c>
      <c r="W10" s="32">
        <f t="shared" si="6"/>
        <v>0.15</v>
      </c>
      <c r="X10" s="32">
        <f t="shared" si="6"/>
        <v>0.15</v>
      </c>
      <c r="Y10" s="32">
        <f t="shared" si="6"/>
        <v>0.15</v>
      </c>
      <c r="Z10" s="32">
        <f t="shared" si="6"/>
        <v>0.15</v>
      </c>
      <c r="AA10" s="32">
        <f t="shared" si="6"/>
        <v>0.15</v>
      </c>
      <c r="AB10" s="32">
        <f t="shared" si="6"/>
        <v>0.15</v>
      </c>
      <c r="AC10" s="32">
        <f t="shared" si="6"/>
        <v>0.15</v>
      </c>
    </row>
    <row r="11" spans="1:30" ht="15" x14ac:dyDescent="0.25">
      <c r="A11" s="1" t="s">
        <v>95</v>
      </c>
      <c r="B11" s="5" t="s">
        <v>1</v>
      </c>
      <c r="C11" s="8">
        <f t="shared" ref="C11:AC11" si="7">C8/(1-C10)</f>
        <v>1098</v>
      </c>
      <c r="D11" s="8">
        <f t="shared" si="7"/>
        <v>1154</v>
      </c>
      <c r="E11" s="8">
        <f t="shared" si="7"/>
        <v>1205</v>
      </c>
      <c r="F11" s="8">
        <f t="shared" si="7"/>
        <v>1262</v>
      </c>
      <c r="G11" s="8">
        <f t="shared" si="7"/>
        <v>1319.0000000000002</v>
      </c>
      <c r="H11" s="8">
        <f t="shared" si="7"/>
        <v>1386.0000000000002</v>
      </c>
      <c r="I11" s="8">
        <f t="shared" si="7"/>
        <v>1443.0000000000002</v>
      </c>
      <c r="J11" s="8">
        <f t="shared" si="7"/>
        <v>1494.0000000000002</v>
      </c>
      <c r="K11" s="8">
        <f t="shared" si="7"/>
        <v>1534.0000000000005</v>
      </c>
      <c r="L11" s="8">
        <f t="shared" si="7"/>
        <v>1573.0000000000002</v>
      </c>
      <c r="M11" s="8">
        <f t="shared" si="7"/>
        <v>1624.0000000000005</v>
      </c>
      <c r="N11" s="8">
        <f t="shared" si="7"/>
        <v>1658.0000000000005</v>
      </c>
      <c r="O11" s="8">
        <f t="shared" si="7"/>
        <v>1698.0000000000005</v>
      </c>
      <c r="P11" s="8">
        <f t="shared" si="7"/>
        <v>1720.0000000000007</v>
      </c>
      <c r="Q11" s="8">
        <f t="shared" si="7"/>
        <v>1743.0000000000005</v>
      </c>
      <c r="R11" s="8">
        <f t="shared" si="7"/>
        <v>1760.0000000000007</v>
      </c>
      <c r="S11" s="8">
        <f t="shared" si="7"/>
        <v>1783.0000000000007</v>
      </c>
      <c r="T11" s="8">
        <f t="shared" si="7"/>
        <v>1805.0000000000009</v>
      </c>
      <c r="U11" s="8">
        <f t="shared" si="7"/>
        <v>1828.0000000000009</v>
      </c>
      <c r="V11" s="8">
        <f t="shared" si="7"/>
        <v>1851.2930747922444</v>
      </c>
      <c r="W11" s="8">
        <f t="shared" si="7"/>
        <v>1874.8829588477688</v>
      </c>
      <c r="X11" s="8">
        <f t="shared" si="7"/>
        <v>1898.7734342236683</v>
      </c>
      <c r="Y11" s="8">
        <f t="shared" si="7"/>
        <v>1922.9683311694544</v>
      </c>
      <c r="Z11" s="8">
        <f t="shared" si="7"/>
        <v>1947.4715287411427</v>
      </c>
      <c r="AA11" s="8">
        <f t="shared" si="7"/>
        <v>1977.8756484439255</v>
      </c>
      <c r="AB11" s="8">
        <f t="shared" si="7"/>
        <v>2273.7870051265209</v>
      </c>
      <c r="AC11" s="8">
        <f t="shared" si="7"/>
        <v>2713.4936361646232</v>
      </c>
    </row>
    <row r="12" spans="1:30" x14ac:dyDescent="0.2">
      <c r="A12" s="3" t="s">
        <v>6</v>
      </c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30" ht="15" x14ac:dyDescent="0.25">
      <c r="A13" s="5" t="s">
        <v>108</v>
      </c>
      <c r="B13" s="5"/>
      <c r="C13" s="6">
        <f>VLOOKUP($A$2,AR2008_Stats!$B$4:$O$15,AR2008_Stats!L$1,FALSE)</f>
        <v>0</v>
      </c>
      <c r="D13" s="64">
        <f>C13</f>
        <v>0</v>
      </c>
      <c r="E13" s="64">
        <f t="shared" ref="E13:T15" si="8">D13</f>
        <v>0</v>
      </c>
      <c r="F13" s="64">
        <f t="shared" si="8"/>
        <v>0</v>
      </c>
      <c r="G13" s="64">
        <f t="shared" si="8"/>
        <v>0</v>
      </c>
      <c r="H13" s="64">
        <f t="shared" si="8"/>
        <v>0</v>
      </c>
      <c r="I13" s="64">
        <f t="shared" si="8"/>
        <v>0</v>
      </c>
      <c r="J13" s="64">
        <f t="shared" si="8"/>
        <v>0</v>
      </c>
      <c r="K13" s="64">
        <f t="shared" si="8"/>
        <v>0</v>
      </c>
      <c r="L13" s="64">
        <f t="shared" si="8"/>
        <v>0</v>
      </c>
      <c r="M13" s="64">
        <f t="shared" si="8"/>
        <v>0</v>
      </c>
      <c r="N13" s="64">
        <f t="shared" si="8"/>
        <v>0</v>
      </c>
      <c r="O13" s="64">
        <f t="shared" si="8"/>
        <v>0</v>
      </c>
      <c r="P13" s="64">
        <f t="shared" si="8"/>
        <v>0</v>
      </c>
      <c r="Q13" s="64">
        <f t="shared" si="8"/>
        <v>0</v>
      </c>
      <c r="R13" s="64">
        <f t="shared" si="8"/>
        <v>0</v>
      </c>
      <c r="S13" s="64">
        <f t="shared" si="8"/>
        <v>0</v>
      </c>
      <c r="T13" s="64">
        <f t="shared" si="8"/>
        <v>0</v>
      </c>
      <c r="U13" s="64">
        <f t="shared" ref="U13:AA15" si="9">T13</f>
        <v>0</v>
      </c>
      <c r="V13" s="64">
        <f t="shared" si="9"/>
        <v>0</v>
      </c>
      <c r="W13" s="64">
        <f t="shared" si="9"/>
        <v>0</v>
      </c>
      <c r="X13" s="64">
        <f t="shared" si="9"/>
        <v>0</v>
      </c>
      <c r="Y13" s="64">
        <f t="shared" si="9"/>
        <v>0</v>
      </c>
      <c r="Z13" s="64">
        <f t="shared" si="9"/>
        <v>0</v>
      </c>
      <c r="AA13" s="64">
        <f t="shared" si="9"/>
        <v>0</v>
      </c>
    </row>
    <row r="14" spans="1:30" ht="15" x14ac:dyDescent="0.25">
      <c r="A14" s="5" t="s">
        <v>109</v>
      </c>
      <c r="B14" s="5"/>
      <c r="C14" s="6">
        <v>0</v>
      </c>
      <c r="D14" s="64">
        <f>C14</f>
        <v>0</v>
      </c>
      <c r="E14" s="64">
        <f t="shared" si="8"/>
        <v>0</v>
      </c>
      <c r="F14" s="64">
        <f t="shared" si="8"/>
        <v>0</v>
      </c>
      <c r="G14" s="64">
        <f t="shared" si="8"/>
        <v>0</v>
      </c>
      <c r="H14" s="64">
        <f t="shared" si="8"/>
        <v>0</v>
      </c>
      <c r="I14" s="64">
        <f t="shared" si="8"/>
        <v>0</v>
      </c>
      <c r="J14" s="64">
        <f t="shared" si="8"/>
        <v>0</v>
      </c>
      <c r="K14" s="64">
        <f t="shared" si="8"/>
        <v>0</v>
      </c>
      <c r="L14" s="64">
        <f t="shared" si="8"/>
        <v>0</v>
      </c>
      <c r="M14" s="64">
        <f t="shared" si="8"/>
        <v>0</v>
      </c>
      <c r="N14" s="64">
        <f t="shared" si="8"/>
        <v>0</v>
      </c>
      <c r="O14" s="64">
        <f t="shared" si="8"/>
        <v>0</v>
      </c>
      <c r="P14" s="64">
        <f t="shared" si="8"/>
        <v>0</v>
      </c>
      <c r="Q14" s="64">
        <f t="shared" si="8"/>
        <v>0</v>
      </c>
      <c r="R14" s="64">
        <f t="shared" si="8"/>
        <v>0</v>
      </c>
      <c r="S14" s="64">
        <f t="shared" si="8"/>
        <v>0</v>
      </c>
      <c r="T14" s="64">
        <f t="shared" si="8"/>
        <v>0</v>
      </c>
      <c r="U14" s="64">
        <f t="shared" si="9"/>
        <v>0</v>
      </c>
      <c r="V14" s="64">
        <f t="shared" si="9"/>
        <v>0</v>
      </c>
      <c r="W14" s="64">
        <f t="shared" si="9"/>
        <v>0</v>
      </c>
      <c r="X14" s="64">
        <f t="shared" si="9"/>
        <v>0</v>
      </c>
      <c r="Y14" s="64">
        <f t="shared" si="9"/>
        <v>0</v>
      </c>
      <c r="Z14" s="64">
        <f t="shared" si="9"/>
        <v>0</v>
      </c>
      <c r="AA14" s="64">
        <f t="shared" si="9"/>
        <v>0</v>
      </c>
    </row>
    <row r="15" spans="1:30" ht="15" x14ac:dyDescent="0.25">
      <c r="A15" s="5" t="s">
        <v>110</v>
      </c>
      <c r="B15" s="5"/>
      <c r="C15" s="6">
        <v>0</v>
      </c>
      <c r="D15" s="64">
        <f>C15</f>
        <v>0</v>
      </c>
      <c r="E15" s="64">
        <f t="shared" si="8"/>
        <v>0</v>
      </c>
      <c r="F15" s="64">
        <f t="shared" si="8"/>
        <v>0</v>
      </c>
      <c r="G15" s="64">
        <f t="shared" si="8"/>
        <v>0</v>
      </c>
      <c r="H15" s="64">
        <f t="shared" si="8"/>
        <v>0</v>
      </c>
      <c r="I15" s="64">
        <f t="shared" si="8"/>
        <v>0</v>
      </c>
      <c r="J15" s="64">
        <f t="shared" si="8"/>
        <v>0</v>
      </c>
      <c r="K15" s="64">
        <f t="shared" si="8"/>
        <v>0</v>
      </c>
      <c r="L15" s="64">
        <f t="shared" si="8"/>
        <v>0</v>
      </c>
      <c r="M15" s="64">
        <f t="shared" si="8"/>
        <v>0</v>
      </c>
      <c r="N15" s="64">
        <f t="shared" si="8"/>
        <v>0</v>
      </c>
      <c r="O15" s="64">
        <f t="shared" si="8"/>
        <v>0</v>
      </c>
      <c r="P15" s="64">
        <f t="shared" si="8"/>
        <v>0</v>
      </c>
      <c r="Q15" s="64">
        <f t="shared" si="8"/>
        <v>0</v>
      </c>
      <c r="R15" s="64">
        <f t="shared" si="8"/>
        <v>0</v>
      </c>
      <c r="S15" s="64">
        <f t="shared" si="8"/>
        <v>0</v>
      </c>
      <c r="T15" s="64">
        <f t="shared" si="8"/>
        <v>0</v>
      </c>
      <c r="U15" s="64">
        <f t="shared" si="9"/>
        <v>0</v>
      </c>
      <c r="V15" s="64">
        <f t="shared" si="9"/>
        <v>0</v>
      </c>
      <c r="W15" s="64">
        <f t="shared" si="9"/>
        <v>0</v>
      </c>
      <c r="X15" s="64">
        <f t="shared" si="9"/>
        <v>0</v>
      </c>
      <c r="Y15" s="64">
        <f t="shared" si="9"/>
        <v>0</v>
      </c>
      <c r="Z15" s="64">
        <f t="shared" si="9"/>
        <v>0</v>
      </c>
      <c r="AA15" s="64">
        <f t="shared" si="9"/>
        <v>0</v>
      </c>
    </row>
    <row r="16" spans="1:30" ht="15" x14ac:dyDescent="0.25">
      <c r="A16" s="5" t="s">
        <v>112</v>
      </c>
      <c r="B16" s="5"/>
      <c r="C16" s="6">
        <v>0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</row>
    <row r="17" spans="1:27" ht="15" x14ac:dyDescent="0.25">
      <c r="A17" s="5" t="s">
        <v>113</v>
      </c>
      <c r="B17" s="5"/>
      <c r="C17" s="6">
        <v>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</row>
    <row r="18" spans="1:27" ht="15" x14ac:dyDescent="0.25">
      <c r="A18" s="1" t="s">
        <v>111</v>
      </c>
      <c r="B18" s="5"/>
      <c r="C18" s="65">
        <f>SUM(C13:C17)</f>
        <v>0</v>
      </c>
      <c r="D18" s="65">
        <f t="shared" ref="D18:AA18" si="10">SUM(D13:D17)</f>
        <v>0</v>
      </c>
      <c r="E18" s="65">
        <f t="shared" si="10"/>
        <v>0</v>
      </c>
      <c r="F18" s="65">
        <f t="shared" si="10"/>
        <v>0</v>
      </c>
      <c r="G18" s="65">
        <f t="shared" si="10"/>
        <v>0</v>
      </c>
      <c r="H18" s="65">
        <f t="shared" si="10"/>
        <v>0</v>
      </c>
      <c r="I18" s="65">
        <f t="shared" si="10"/>
        <v>0</v>
      </c>
      <c r="J18" s="65">
        <f t="shared" si="10"/>
        <v>0</v>
      </c>
      <c r="K18" s="65">
        <f t="shared" si="10"/>
        <v>0</v>
      </c>
      <c r="L18" s="65">
        <f t="shared" si="10"/>
        <v>0</v>
      </c>
      <c r="M18" s="65">
        <f t="shared" si="10"/>
        <v>0</v>
      </c>
      <c r="N18" s="65">
        <f t="shared" si="10"/>
        <v>0</v>
      </c>
      <c r="O18" s="65">
        <f t="shared" si="10"/>
        <v>0</v>
      </c>
      <c r="P18" s="65">
        <f t="shared" si="10"/>
        <v>0</v>
      </c>
      <c r="Q18" s="65">
        <f t="shared" si="10"/>
        <v>0</v>
      </c>
      <c r="R18" s="65">
        <f t="shared" si="10"/>
        <v>0</v>
      </c>
      <c r="S18" s="65">
        <f t="shared" si="10"/>
        <v>0</v>
      </c>
      <c r="T18" s="65">
        <f t="shared" si="10"/>
        <v>0</v>
      </c>
      <c r="U18" s="65">
        <f t="shared" si="10"/>
        <v>0</v>
      </c>
      <c r="V18" s="65">
        <f t="shared" si="10"/>
        <v>0</v>
      </c>
      <c r="W18" s="65">
        <f t="shared" si="10"/>
        <v>0</v>
      </c>
      <c r="X18" s="65">
        <f t="shared" si="10"/>
        <v>0</v>
      </c>
      <c r="Y18" s="65">
        <f t="shared" si="10"/>
        <v>0</v>
      </c>
      <c r="Z18" s="65">
        <f t="shared" si="10"/>
        <v>0</v>
      </c>
      <c r="AA18" s="65">
        <f t="shared" si="10"/>
        <v>0</v>
      </c>
    </row>
    <row r="19" spans="1:27" ht="15" x14ac:dyDescent="0.25">
      <c r="A19" s="66" t="s">
        <v>116</v>
      </c>
      <c r="B19" s="66" t="s">
        <v>1</v>
      </c>
      <c r="C19" s="67">
        <f t="shared" ref="C19:AA19" si="11">C18+C11</f>
        <v>1098</v>
      </c>
      <c r="D19" s="67">
        <f t="shared" si="11"/>
        <v>1154</v>
      </c>
      <c r="E19" s="67">
        <f t="shared" si="11"/>
        <v>1205</v>
      </c>
      <c r="F19" s="67">
        <f t="shared" si="11"/>
        <v>1262</v>
      </c>
      <c r="G19" s="67">
        <f t="shared" si="11"/>
        <v>1319.0000000000002</v>
      </c>
      <c r="H19" s="67">
        <f t="shared" si="11"/>
        <v>1386.0000000000002</v>
      </c>
      <c r="I19" s="67">
        <f t="shared" si="11"/>
        <v>1443.0000000000002</v>
      </c>
      <c r="J19" s="67">
        <f t="shared" si="11"/>
        <v>1494.0000000000002</v>
      </c>
      <c r="K19" s="67">
        <f t="shared" si="11"/>
        <v>1534.0000000000005</v>
      </c>
      <c r="L19" s="67">
        <f t="shared" si="11"/>
        <v>1573.0000000000002</v>
      </c>
      <c r="M19" s="67">
        <f t="shared" si="11"/>
        <v>1624.0000000000005</v>
      </c>
      <c r="N19" s="67">
        <f t="shared" si="11"/>
        <v>1658.0000000000005</v>
      </c>
      <c r="O19" s="67">
        <f t="shared" si="11"/>
        <v>1698.0000000000005</v>
      </c>
      <c r="P19" s="67">
        <f t="shared" si="11"/>
        <v>1720.0000000000007</v>
      </c>
      <c r="Q19" s="67">
        <f t="shared" si="11"/>
        <v>1743.0000000000005</v>
      </c>
      <c r="R19" s="67">
        <f t="shared" si="11"/>
        <v>1760.0000000000007</v>
      </c>
      <c r="S19" s="67">
        <f t="shared" si="11"/>
        <v>1783.0000000000007</v>
      </c>
      <c r="T19" s="67">
        <f t="shared" si="11"/>
        <v>1805.0000000000009</v>
      </c>
      <c r="U19" s="67">
        <f t="shared" si="11"/>
        <v>1828.0000000000009</v>
      </c>
      <c r="V19" s="67">
        <f t="shared" si="11"/>
        <v>1851.2930747922444</v>
      </c>
      <c r="W19" s="67">
        <f t="shared" si="11"/>
        <v>1874.8829588477688</v>
      </c>
      <c r="X19" s="67">
        <f t="shared" si="11"/>
        <v>1898.7734342236683</v>
      </c>
      <c r="Y19" s="67">
        <f t="shared" si="11"/>
        <v>1922.9683311694544</v>
      </c>
      <c r="Z19" s="67">
        <f t="shared" si="11"/>
        <v>1947.4715287411427</v>
      </c>
      <c r="AA19" s="67">
        <f t="shared" si="11"/>
        <v>1977.8756484439255</v>
      </c>
    </row>
    <row r="20" spans="1:27" ht="15" x14ac:dyDescent="0.25">
      <c r="A20" s="3" t="s">
        <v>120</v>
      </c>
      <c r="B20" s="5" t="s">
        <v>1</v>
      </c>
      <c r="C20" s="6">
        <f>VLOOKUP($A$2,AR2008_Stats!$B$4:$O$15,AR2008_Stats!K$1,FALSE)</f>
        <v>993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 x14ac:dyDescent="0.25">
      <c r="A21" s="3" t="s">
        <v>121</v>
      </c>
      <c r="B21" s="5" t="s">
        <v>1</v>
      </c>
      <c r="C21" s="6">
        <f>VLOOKUP($A$2,AR2008_Stats!$B$4:$O$15,AR2008_Stats!J$1,FALSE)</f>
        <v>125.8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7" ht="15" x14ac:dyDescent="0.25">
      <c r="A22" s="66" t="s">
        <v>119</v>
      </c>
      <c r="B22" s="66" t="s">
        <v>1</v>
      </c>
      <c r="C22" s="67">
        <f>C21+C20</f>
        <v>1118.8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7" x14ac:dyDescent="0.2">
      <c r="A23" s="3" t="s">
        <v>88</v>
      </c>
    </row>
    <row r="24" spans="1:27" ht="15" x14ac:dyDescent="0.25">
      <c r="A24" s="1" t="s">
        <v>76</v>
      </c>
      <c r="B24" s="5" t="s">
        <v>1</v>
      </c>
      <c r="C24" s="74">
        <f>VLOOKUP($A$2,'[1]Total Existing Capacity'!$A$3:$J$14,9,FALSE)</f>
        <v>202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7" x14ac:dyDescent="0.2">
      <c r="A25" s="1" t="s">
        <v>89</v>
      </c>
      <c r="B25" s="5"/>
      <c r="C25" s="30">
        <f>(C20+C24)/C11-1</f>
        <v>8.8342440801457256E-2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7" x14ac:dyDescent="0.2">
      <c r="A26" s="1" t="s">
        <v>90</v>
      </c>
      <c r="B26" s="5"/>
      <c r="C26" s="30">
        <f>(C20+C24-C13)/C11-1</f>
        <v>8.8342440801457256E-2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7" x14ac:dyDescent="0.2">
      <c r="A27" s="1" t="s">
        <v>91</v>
      </c>
      <c r="B27" s="5"/>
      <c r="C27" s="30">
        <f>C24/C11-1</f>
        <v>-0.8160291438979963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7" x14ac:dyDescent="0.2">
      <c r="A28" s="1" t="s">
        <v>92</v>
      </c>
      <c r="B28" s="5"/>
      <c r="C28" s="30">
        <f>(C24-C13)/C11-1</f>
        <v>-0.8160291438979963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7" ht="15" x14ac:dyDescent="0.25">
      <c r="A29" s="1" t="s">
        <v>77</v>
      </c>
      <c r="B29" s="5" t="s">
        <v>1</v>
      </c>
      <c r="C29" s="74">
        <f>VLOOKUP($A$2,'[1]Total Existing Capacity'!$A$3:$J$14,10,FALSE)</f>
        <v>134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7" x14ac:dyDescent="0.2">
      <c r="A30" s="1" t="s">
        <v>93</v>
      </c>
      <c r="B30" s="5"/>
      <c r="C30" s="30">
        <f>C29/C11-1</f>
        <v>-0.87795992714025495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7" x14ac:dyDescent="0.2">
      <c r="A31" s="1" t="s">
        <v>94</v>
      </c>
      <c r="B31" s="5"/>
      <c r="C31" s="30">
        <f>(C29-C13)/C11-1</f>
        <v>-0.87795992714025495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7" ht="15" x14ac:dyDescent="0.25">
      <c r="A32" s="1" t="s">
        <v>74</v>
      </c>
      <c r="B32" s="2" t="s">
        <v>10</v>
      </c>
      <c r="C32" s="27">
        <f>IF(B3="AR 2008",VLOOKUP($A$2,AR2008_Stats!$B$4:$O$15,AR2008_Stats!F$1,FALSE),C47)</f>
        <v>194</v>
      </c>
      <c r="D32" s="28">
        <f>D19/(D33*8.76)</f>
        <v>204.00000000000003</v>
      </c>
      <c r="E32" s="28">
        <f t="shared" ref="E32:Z32" si="12">E19/(E33*8.76)</f>
        <v>212.99999999999997</v>
      </c>
      <c r="F32" s="28">
        <f t="shared" si="12"/>
        <v>223</v>
      </c>
      <c r="G32" s="28">
        <f t="shared" si="12"/>
        <v>233.00000000000003</v>
      </c>
      <c r="H32" s="28">
        <f t="shared" si="12"/>
        <v>245.00000000000003</v>
      </c>
      <c r="I32" s="28">
        <f t="shared" si="12"/>
        <v>255.00000000000003</v>
      </c>
      <c r="J32" s="28">
        <f t="shared" si="12"/>
        <v>264.00000000000006</v>
      </c>
      <c r="K32" s="28">
        <f t="shared" si="12"/>
        <v>271.00000000000011</v>
      </c>
      <c r="L32" s="28">
        <f t="shared" si="12"/>
        <v>278</v>
      </c>
      <c r="M32" s="28">
        <f t="shared" si="12"/>
        <v>287.00000000000011</v>
      </c>
      <c r="N32" s="28">
        <f t="shared" si="12"/>
        <v>293.00000000000006</v>
      </c>
      <c r="O32" s="28">
        <f t="shared" si="12"/>
        <v>300.00000000000006</v>
      </c>
      <c r="P32" s="28">
        <f t="shared" si="12"/>
        <v>304.00000000000011</v>
      </c>
      <c r="Q32" s="28">
        <f t="shared" si="12"/>
        <v>308.00000000000006</v>
      </c>
      <c r="R32" s="28">
        <f t="shared" si="12"/>
        <v>311.00000000000017</v>
      </c>
      <c r="S32" s="28">
        <f t="shared" si="12"/>
        <v>315.00000000000011</v>
      </c>
      <c r="T32" s="28">
        <f t="shared" si="12"/>
        <v>319.00000000000017</v>
      </c>
      <c r="U32" s="28">
        <f t="shared" si="12"/>
        <v>323.06481994459853</v>
      </c>
      <c r="V32" s="28">
        <f t="shared" si="12"/>
        <v>327.18143537879558</v>
      </c>
      <c r="W32" s="28">
        <f t="shared" si="12"/>
        <v>331.35050630051984</v>
      </c>
      <c r="X32" s="28">
        <f t="shared" si="12"/>
        <v>335.57270111764558</v>
      </c>
      <c r="Y32" s="28">
        <f t="shared" si="12"/>
        <v>339.84869675515569</v>
      </c>
      <c r="Z32" s="28">
        <f t="shared" si="12"/>
        <v>344.17917876367011</v>
      </c>
    </row>
    <row r="33" spans="1:27" ht="15" x14ac:dyDescent="0.25">
      <c r="A33" s="1" t="s">
        <v>7</v>
      </c>
      <c r="C33" s="14">
        <f>C19/(C32*8.76)</f>
        <v>0.64609518429600332</v>
      </c>
      <c r="D33" s="14">
        <f t="shared" ref="D33:T33" si="13">IF(B3="AR 2008",D49,D50)</f>
        <v>0.64576058733995878</v>
      </c>
      <c r="E33" s="14">
        <f t="shared" si="13"/>
        <v>0.64580787617638868</v>
      </c>
      <c r="F33" s="14">
        <f t="shared" si="13"/>
        <v>0.64602657820914466</v>
      </c>
      <c r="G33" s="14">
        <f t="shared" si="13"/>
        <v>0.64622650753522648</v>
      </c>
      <c r="H33" s="14">
        <f t="shared" si="13"/>
        <v>0.64579256360078285</v>
      </c>
      <c r="I33" s="14">
        <f t="shared" si="13"/>
        <v>0.64598442116572663</v>
      </c>
      <c r="J33" s="14">
        <f t="shared" si="13"/>
        <v>0.64601494396014947</v>
      </c>
      <c r="K33" s="14">
        <f t="shared" si="13"/>
        <v>0.64617769465365882</v>
      </c>
      <c r="L33" s="14">
        <f t="shared" si="13"/>
        <v>0.64592161886928823</v>
      </c>
      <c r="M33" s="14">
        <f t="shared" si="13"/>
        <v>0.64595166499610202</v>
      </c>
      <c r="N33" s="14">
        <f t="shared" si="13"/>
        <v>0.64597067028223232</v>
      </c>
      <c r="O33" s="14">
        <f t="shared" si="13"/>
        <v>0.64611872146118721</v>
      </c>
      <c r="P33" s="14">
        <f t="shared" si="13"/>
        <v>0.64587839461667873</v>
      </c>
      <c r="Q33" s="14">
        <f t="shared" si="13"/>
        <v>0.64601494396014947</v>
      </c>
      <c r="R33" s="14">
        <f t="shared" si="13"/>
        <v>0.64602328620299809</v>
      </c>
      <c r="S33" s="14">
        <f t="shared" si="13"/>
        <v>0.64615496122345439</v>
      </c>
      <c r="T33" s="14">
        <f t="shared" si="13"/>
        <v>0.6459254805971858</v>
      </c>
      <c r="U33" s="14">
        <f>T33</f>
        <v>0.6459254805971858</v>
      </c>
      <c r="V33" s="14">
        <f t="shared" ref="V33:Z33" si="14">U33</f>
        <v>0.6459254805971858</v>
      </c>
      <c r="W33" s="14">
        <f t="shared" si="14"/>
        <v>0.6459254805971858</v>
      </c>
      <c r="X33" s="14">
        <f t="shared" si="14"/>
        <v>0.6459254805971858</v>
      </c>
      <c r="Y33" s="14">
        <f t="shared" si="14"/>
        <v>0.6459254805971858</v>
      </c>
      <c r="Z33" s="14">
        <f t="shared" si="14"/>
        <v>0.6459254805971858</v>
      </c>
    </row>
    <row r="34" spans="1:27" ht="15" x14ac:dyDescent="0.25">
      <c r="A34" s="1" t="s">
        <v>8</v>
      </c>
      <c r="C34" s="15"/>
      <c r="D34" s="15">
        <f t="shared" ref="D34:J34" si="15">D32/C32-1</f>
        <v>5.1546391752577359E-2</v>
      </c>
      <c r="E34" s="15">
        <f t="shared" si="15"/>
        <v>4.4117647058823151E-2</v>
      </c>
      <c r="F34" s="15">
        <f t="shared" si="15"/>
        <v>4.6948356807511971E-2</v>
      </c>
      <c r="G34" s="15">
        <f t="shared" si="15"/>
        <v>4.484304932735439E-2</v>
      </c>
      <c r="H34" s="15">
        <f t="shared" si="15"/>
        <v>5.1502145922746712E-2</v>
      </c>
      <c r="I34" s="15">
        <f t="shared" si="15"/>
        <v>4.081632653061229E-2</v>
      </c>
      <c r="J34" s="15">
        <f t="shared" si="15"/>
        <v>3.529411764705892E-2</v>
      </c>
    </row>
    <row r="35" spans="1:27" ht="15" x14ac:dyDescent="0.25">
      <c r="A35" s="1" t="s">
        <v>75</v>
      </c>
      <c r="B35" s="2" t="s">
        <v>10</v>
      </c>
      <c r="C35" s="35">
        <f>IF(B3="AR 2008",C52,C53)</f>
        <v>62</v>
      </c>
      <c r="D35" s="15"/>
      <c r="E35" s="15"/>
      <c r="F35" s="15"/>
      <c r="G35" s="15"/>
      <c r="H35" s="15"/>
      <c r="I35" s="15"/>
      <c r="J35" s="15"/>
    </row>
    <row r="36" spans="1:27" s="1" customFormat="1" x14ac:dyDescent="0.2">
      <c r="A36" s="1" t="s">
        <v>81</v>
      </c>
      <c r="B36" s="1" t="s">
        <v>10</v>
      </c>
      <c r="C36" s="72">
        <f>MAX(0,C32-C35)</f>
        <v>132</v>
      </c>
      <c r="D36" s="77">
        <f>C20/(C33*8.76)</f>
        <v>175.44808743169401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1:27" ht="15" x14ac:dyDescent="0.25">
      <c r="A37" s="1" t="s">
        <v>79</v>
      </c>
      <c r="C37" s="15">
        <f>C35/C32-1</f>
        <v>-0.68041237113402064</v>
      </c>
      <c r="D37" s="34">
        <f>C37</f>
        <v>-0.68041237113402064</v>
      </c>
      <c r="E37" s="34">
        <f t="shared" ref="E37:AA37" si="16">D37</f>
        <v>-0.68041237113402064</v>
      </c>
      <c r="F37" s="34">
        <f t="shared" si="16"/>
        <v>-0.68041237113402064</v>
      </c>
      <c r="G37" s="34">
        <f t="shared" si="16"/>
        <v>-0.68041237113402064</v>
      </c>
      <c r="H37" s="34">
        <f t="shared" si="16"/>
        <v>-0.68041237113402064</v>
      </c>
      <c r="I37" s="34">
        <f t="shared" si="16"/>
        <v>-0.68041237113402064</v>
      </c>
      <c r="J37" s="34">
        <f t="shared" si="16"/>
        <v>-0.68041237113402064</v>
      </c>
      <c r="K37" s="34">
        <f t="shared" si="16"/>
        <v>-0.68041237113402064</v>
      </c>
      <c r="L37" s="34">
        <f t="shared" si="16"/>
        <v>-0.68041237113402064</v>
      </c>
      <c r="M37" s="34">
        <f t="shared" si="16"/>
        <v>-0.68041237113402064</v>
      </c>
      <c r="N37" s="34">
        <f t="shared" si="16"/>
        <v>-0.68041237113402064</v>
      </c>
      <c r="O37" s="34">
        <f t="shared" si="16"/>
        <v>-0.68041237113402064</v>
      </c>
      <c r="P37" s="34">
        <f t="shared" si="16"/>
        <v>-0.68041237113402064</v>
      </c>
      <c r="Q37" s="34">
        <f t="shared" si="16"/>
        <v>-0.68041237113402064</v>
      </c>
      <c r="R37" s="34">
        <f t="shared" si="16"/>
        <v>-0.68041237113402064</v>
      </c>
      <c r="S37" s="34">
        <f t="shared" si="16"/>
        <v>-0.68041237113402064</v>
      </c>
      <c r="T37" s="34">
        <f t="shared" si="16"/>
        <v>-0.68041237113402064</v>
      </c>
      <c r="U37" s="34">
        <f t="shared" si="16"/>
        <v>-0.68041237113402064</v>
      </c>
      <c r="V37" s="34">
        <f t="shared" si="16"/>
        <v>-0.68041237113402064</v>
      </c>
      <c r="W37" s="34">
        <f t="shared" si="16"/>
        <v>-0.68041237113402064</v>
      </c>
      <c r="X37" s="34">
        <f t="shared" si="16"/>
        <v>-0.68041237113402064</v>
      </c>
      <c r="Y37" s="34">
        <f t="shared" si="16"/>
        <v>-0.68041237113402064</v>
      </c>
      <c r="Z37" s="34">
        <f t="shared" si="16"/>
        <v>-0.68041237113402064</v>
      </c>
      <c r="AA37" s="34">
        <f t="shared" si="16"/>
        <v>-0.68041237113402064</v>
      </c>
    </row>
    <row r="38" spans="1:27" ht="15" x14ac:dyDescent="0.25">
      <c r="A38" s="1"/>
      <c r="C38" s="15"/>
      <c r="D38" s="15"/>
      <c r="E38" s="15"/>
      <c r="F38" s="15"/>
      <c r="G38" s="15"/>
      <c r="H38" s="15"/>
      <c r="I38" s="15"/>
      <c r="J38" s="15"/>
    </row>
    <row r="39" spans="1:27" ht="15" x14ac:dyDescent="0.25">
      <c r="A39" s="3" t="s">
        <v>78</v>
      </c>
      <c r="C39" s="15"/>
      <c r="D39" s="36"/>
      <c r="E39" s="36"/>
      <c r="F39" s="36"/>
      <c r="G39" s="36"/>
      <c r="H39" s="36"/>
      <c r="I39" s="35"/>
      <c r="J39" s="35"/>
    </row>
    <row r="40" spans="1:27" ht="15" x14ac:dyDescent="0.25">
      <c r="A40" s="1" t="s">
        <v>69</v>
      </c>
      <c r="B40" s="1" t="s">
        <v>1</v>
      </c>
      <c r="D40" s="23">
        <f>SUMIF(AR2008_EnergyProj!$A$3:$A$14,SWA!$A$2,AR2008_EnergyProj!B$3:B$14)</f>
        <v>1154</v>
      </c>
      <c r="E40" s="23">
        <f>SUMIF(AR2008_EnergyProj!$A$3:$A$14,SWA!$A$2,AR2008_EnergyProj!C$3:C$14)</f>
        <v>1205</v>
      </c>
      <c r="F40" s="23">
        <f>SUMIF(AR2008_EnergyProj!$A$3:$A$14,SWA!$A$2,AR2008_EnergyProj!D$3:D$14)</f>
        <v>1262</v>
      </c>
      <c r="G40" s="23">
        <f>SUMIF(AR2008_EnergyProj!$A$3:$A$14,SWA!$A$2,AR2008_EnergyProj!E$3:E$14)</f>
        <v>1319</v>
      </c>
      <c r="H40" s="23">
        <f>SUMIF(AR2008_EnergyProj!$A$3:$A$14,SWA!$A$2,AR2008_EnergyProj!F$3:F$14)</f>
        <v>1386</v>
      </c>
      <c r="I40" s="23">
        <f>SUMIF(AR2008_EnergyProj!$A$3:$A$14,SWA!$A$2,AR2008_EnergyProj!G$3:G$14)</f>
        <v>1443</v>
      </c>
      <c r="J40" s="23">
        <f>SUMIF(AR2008_EnergyProj!$A$3:$A$14,SWA!$A$2,AR2008_EnergyProj!H$3:H$14)</f>
        <v>1494</v>
      </c>
      <c r="K40" s="23">
        <f>SUMIF(AR2008_EnergyProj!$A$3:$A$14,SWA!$A$2,AR2008_EnergyProj!I$3:I$14)</f>
        <v>1534</v>
      </c>
      <c r="L40" s="23">
        <f>SUMIF(AR2008_EnergyProj!$A$3:$A$14,SWA!$A$2,AR2008_EnergyProj!J$3:J$14)</f>
        <v>1573</v>
      </c>
      <c r="M40" s="23">
        <f>SUMIF(AR2008_EnergyProj!$A$3:$A$14,SWA!$A$2,AR2008_EnergyProj!K$3:K$14)</f>
        <v>1624</v>
      </c>
      <c r="N40" s="23">
        <f>SUMIF(AR2008_EnergyProj!$A$3:$A$14,SWA!$A$2,AR2008_EnergyProj!L$3:L$14)</f>
        <v>1658</v>
      </c>
      <c r="O40" s="23">
        <f>SUMIF(AR2008_EnergyProj!$A$3:$A$14,SWA!$A$2,AR2008_EnergyProj!M$3:M$14)</f>
        <v>1698</v>
      </c>
      <c r="P40" s="23">
        <f>SUMIF(AR2008_EnergyProj!$A$3:$A$14,SWA!$A$2,AR2008_EnergyProj!N$3:N$14)</f>
        <v>1720</v>
      </c>
      <c r="Q40" s="23">
        <f>SUMIF(AR2008_EnergyProj!$A$3:$A$14,SWA!$A$2,AR2008_EnergyProj!O$3:O$14)</f>
        <v>1743</v>
      </c>
      <c r="R40" s="23">
        <f>SUMIF(AR2008_EnergyProj!$A$3:$A$14,SWA!$A$2,AR2008_EnergyProj!P$3:P$14)</f>
        <v>1760</v>
      </c>
      <c r="S40" s="23">
        <f>SUMIF(AR2008_EnergyProj!$A$3:$A$14,SWA!$A$2,AR2008_EnergyProj!Q$3:Q$14)</f>
        <v>1783</v>
      </c>
      <c r="T40" s="23">
        <f>SUMIF(AR2008_EnergyProj!$A$3:$A$14,SWA!$A$2,AR2008_EnergyProj!R$3:R$14)</f>
        <v>1805</v>
      </c>
    </row>
    <row r="41" spans="1:27" ht="15" x14ac:dyDescent="0.25">
      <c r="A41" s="1" t="s">
        <v>11</v>
      </c>
      <c r="B41" s="1"/>
      <c r="D41" s="26">
        <f>VLOOKUP($A$2,AR2008_Stats!$B$4:$O$15,AR2008_Stats!I$1,FALSE)/100</f>
        <v>-5.0000000000000001E-3</v>
      </c>
      <c r="E41" s="18">
        <f>E40/D40-1</f>
        <v>4.4194107452339759E-2</v>
      </c>
      <c r="F41" s="18">
        <f t="shared" ref="F41:T41" si="17">F40/E40-1</f>
        <v>4.7302904564315407E-2</v>
      </c>
      <c r="G41" s="18">
        <f t="shared" si="17"/>
        <v>4.5166402535657735E-2</v>
      </c>
      <c r="H41" s="18">
        <f t="shared" si="17"/>
        <v>5.0796057619408641E-2</v>
      </c>
      <c r="I41" s="18">
        <f t="shared" si="17"/>
        <v>4.1125541125541121E-2</v>
      </c>
      <c r="J41" s="18">
        <f t="shared" si="17"/>
        <v>3.5343035343035289E-2</v>
      </c>
      <c r="K41" s="18">
        <f t="shared" si="17"/>
        <v>2.6773761713520861E-2</v>
      </c>
      <c r="L41" s="18">
        <f t="shared" si="17"/>
        <v>2.5423728813559254E-2</v>
      </c>
      <c r="M41" s="18">
        <f t="shared" si="17"/>
        <v>3.2422123331214303E-2</v>
      </c>
      <c r="N41" s="18">
        <f t="shared" si="17"/>
        <v>2.0935960591133007E-2</v>
      </c>
      <c r="O41" s="18">
        <f t="shared" si="17"/>
        <v>2.4125452352231624E-2</v>
      </c>
      <c r="P41" s="18">
        <f t="shared" si="17"/>
        <v>1.2956419316843437E-2</v>
      </c>
      <c r="Q41" s="18">
        <f t="shared" si="17"/>
        <v>1.3372093023255704E-2</v>
      </c>
      <c r="R41" s="18">
        <f t="shared" si="17"/>
        <v>9.7532989099253786E-3</v>
      </c>
      <c r="S41" s="18">
        <f t="shared" si="17"/>
        <v>1.3068181818181923E-2</v>
      </c>
      <c r="T41" s="18">
        <f t="shared" si="17"/>
        <v>1.2338754907459393E-2</v>
      </c>
      <c r="U41" s="4">
        <f>T41</f>
        <v>1.2338754907459393E-2</v>
      </c>
    </row>
    <row r="42" spans="1:27" ht="15" x14ac:dyDescent="0.25">
      <c r="A42" s="1" t="s">
        <v>118</v>
      </c>
      <c r="B42" s="1" t="s">
        <v>1</v>
      </c>
      <c r="C42" s="23">
        <f>SUMIF(PoolPlan_EnergyProj!$B$60:$B$71,SWA!$A$2,PoolPlan_EnergyProj!D$60:D$71)</f>
        <v>1098</v>
      </c>
      <c r="D42" s="23">
        <f>SUMIF(PoolPlan_EnergyProj!$B$60:$B$71,SWA!$A$2,PoolPlan_EnergyProj!E$60:E$71)</f>
        <v>1154</v>
      </c>
      <c r="E42" s="23">
        <f>SUMIF(PoolPlan_EnergyProj!$B$60:$B$71,SWA!$A$2,PoolPlan_EnergyProj!F$60:F$71)</f>
        <v>1205</v>
      </c>
      <c r="F42" s="23">
        <f>SUMIF(PoolPlan_EnergyProj!$B$60:$B$71,SWA!$A$2,PoolPlan_EnergyProj!G$60:G$71)</f>
        <v>1262</v>
      </c>
      <c r="G42" s="23">
        <f>SUMIF(PoolPlan_EnergyProj!$B$60:$B$71,SWA!$A$2,PoolPlan_EnergyProj!H$60:H$71)</f>
        <v>1319</v>
      </c>
      <c r="H42" s="23">
        <f>SUMIF(PoolPlan_EnergyProj!$B$60:$B$71,SWA!$A$2,PoolPlan_EnergyProj!I$60:I$71)</f>
        <v>1386</v>
      </c>
      <c r="I42" s="23">
        <f>SUMIF(PoolPlan_EnergyProj!$B$60:$B$71,SWA!$A$2,PoolPlan_EnergyProj!J$60:J$71)</f>
        <v>1443</v>
      </c>
      <c r="J42" s="23">
        <f>SUMIF(PoolPlan_EnergyProj!$B$60:$B$71,SWA!$A$2,PoolPlan_EnergyProj!K$60:K$71)</f>
        <v>1494</v>
      </c>
      <c r="K42" s="23">
        <f>SUMIF(PoolPlan_EnergyProj!$B$60:$B$71,SWA!$A$2,PoolPlan_EnergyProj!L$60:L$71)</f>
        <v>1534</v>
      </c>
      <c r="L42" s="23">
        <f>SUMIF(PoolPlan_EnergyProj!$B$60:$B$71,SWA!$A$2,PoolPlan_EnergyProj!M$60:M$71)</f>
        <v>1573</v>
      </c>
      <c r="M42" s="23">
        <f>SUMIF(PoolPlan_EnergyProj!$B$60:$B$71,SWA!$A$2,PoolPlan_EnergyProj!N$60:N$71)</f>
        <v>1624</v>
      </c>
      <c r="N42" s="23">
        <f>SUMIF(PoolPlan_EnergyProj!$B$60:$B$71,SWA!$A$2,PoolPlan_EnergyProj!O$60:O$71)</f>
        <v>1658</v>
      </c>
      <c r="O42" s="23">
        <f>SUMIF(PoolPlan_EnergyProj!$B$60:$B$71,SWA!$A$2,PoolPlan_EnergyProj!P$60:P$71)</f>
        <v>1698</v>
      </c>
      <c r="P42" s="23">
        <f>SUMIF(PoolPlan_EnergyProj!$B$60:$B$71,SWA!$A$2,PoolPlan_EnergyProj!Q$60:Q$71)</f>
        <v>1720</v>
      </c>
      <c r="Q42" s="23">
        <f>SUMIF(PoolPlan_EnergyProj!$B$60:$B$71,SWA!$A$2,PoolPlan_EnergyProj!R$60:R$71)</f>
        <v>1743</v>
      </c>
      <c r="R42" s="23">
        <f>SUMIF(PoolPlan_EnergyProj!$B$60:$B$71,SWA!$A$2,PoolPlan_EnergyProj!S$60:S$71)</f>
        <v>1760</v>
      </c>
      <c r="S42" s="23">
        <f>SUMIF(PoolPlan_EnergyProj!$B$60:$B$71,SWA!$A$2,PoolPlan_EnergyProj!T$60:T$71)</f>
        <v>1783</v>
      </c>
      <c r="T42" s="23">
        <f>SUMIF(PoolPlan_EnergyProj!$B$60:$B$71,SWA!$A$2,PoolPlan_EnergyProj!U$60:U$71)</f>
        <v>1805</v>
      </c>
      <c r="U42" s="23">
        <f>SUMIF(PoolPlan_EnergyProj!$B$60:$B$71,SWA!$A$2,PoolPlan_EnergyProj!V$60:V$71)</f>
        <v>1828</v>
      </c>
      <c r="V42" s="23"/>
    </row>
    <row r="43" spans="1:27" x14ac:dyDescent="0.2">
      <c r="A43" s="1" t="s">
        <v>11</v>
      </c>
      <c r="B43" s="1"/>
      <c r="C43" s="16"/>
      <c r="D43" s="18">
        <f>D42/C42-1</f>
        <v>5.1001821493624755E-2</v>
      </c>
      <c r="E43" s="18">
        <f t="shared" ref="E43:U43" si="18">E42/D42-1</f>
        <v>4.4194107452339759E-2</v>
      </c>
      <c r="F43" s="18">
        <f t="shared" si="18"/>
        <v>4.7302904564315407E-2</v>
      </c>
      <c r="G43" s="18">
        <f t="shared" si="18"/>
        <v>4.5166402535657735E-2</v>
      </c>
      <c r="H43" s="18">
        <f t="shared" si="18"/>
        <v>5.0796057619408641E-2</v>
      </c>
      <c r="I43" s="18">
        <f t="shared" si="18"/>
        <v>4.1125541125541121E-2</v>
      </c>
      <c r="J43" s="18">
        <f t="shared" si="18"/>
        <v>3.5343035343035289E-2</v>
      </c>
      <c r="K43" s="18">
        <f t="shared" si="18"/>
        <v>2.6773761713520861E-2</v>
      </c>
      <c r="L43" s="18">
        <f t="shared" si="18"/>
        <v>2.5423728813559254E-2</v>
      </c>
      <c r="M43" s="18">
        <f t="shared" si="18"/>
        <v>3.2422123331214303E-2</v>
      </c>
      <c r="N43" s="18">
        <f t="shared" si="18"/>
        <v>2.0935960591133007E-2</v>
      </c>
      <c r="O43" s="18">
        <f t="shared" si="18"/>
        <v>2.4125452352231624E-2</v>
      </c>
      <c r="P43" s="18">
        <f t="shared" si="18"/>
        <v>1.2956419316843437E-2</v>
      </c>
      <c r="Q43" s="18">
        <f t="shared" si="18"/>
        <v>1.3372093023255704E-2</v>
      </c>
      <c r="R43" s="18">
        <f t="shared" si="18"/>
        <v>9.7532989099253786E-3</v>
      </c>
      <c r="S43" s="18">
        <f t="shared" si="18"/>
        <v>1.3068181818181923E-2</v>
      </c>
      <c r="T43" s="18">
        <f t="shared" si="18"/>
        <v>1.2338754907459393E-2</v>
      </c>
      <c r="U43" s="18">
        <f t="shared" si="18"/>
        <v>1.2742382271468067E-2</v>
      </c>
    </row>
    <row r="44" spans="1:27" x14ac:dyDescent="0.2">
      <c r="A44" s="1"/>
      <c r="B44" s="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7" ht="15" x14ac:dyDescent="0.25">
      <c r="A45" s="1" t="s">
        <v>9</v>
      </c>
      <c r="B45" s="1" t="s">
        <v>10</v>
      </c>
      <c r="C45"/>
      <c r="D45">
        <f>SUMIF(AR2008_PeakProj!$A$3:$A$14,SWA!$A$2,AR2008_PeakProj!B$3:B$14)</f>
        <v>204</v>
      </c>
      <c r="E45">
        <f>SUMIF(AR2008_PeakProj!$A$3:$A$14,SWA!$A$2,AR2008_PeakProj!C$3:C$14)</f>
        <v>213</v>
      </c>
      <c r="F45">
        <f>SUMIF(AR2008_PeakProj!$A$3:$A$14,SWA!$A$2,AR2008_PeakProj!D$3:D$14)</f>
        <v>223</v>
      </c>
      <c r="G45">
        <f>SUMIF(AR2008_PeakProj!$A$3:$A$14,SWA!$A$2,AR2008_PeakProj!E$3:E$14)</f>
        <v>233</v>
      </c>
      <c r="H45">
        <f>SUMIF(AR2008_PeakProj!$A$3:$A$14,SWA!$A$2,AR2008_PeakProj!F$3:F$14)</f>
        <v>245</v>
      </c>
      <c r="I45">
        <f>SUMIF(AR2008_PeakProj!$A$3:$A$14,SWA!$A$2,AR2008_PeakProj!G$3:G$14)</f>
        <v>255</v>
      </c>
      <c r="J45">
        <f>SUMIF(AR2008_PeakProj!$A$3:$A$14,SWA!$A$2,AR2008_PeakProj!H$3:H$14)</f>
        <v>264</v>
      </c>
      <c r="K45">
        <f>SUMIF(AR2008_PeakProj!$A$3:$A$14,SWA!$A$2,AR2008_PeakProj!I$3:I$14)</f>
        <v>271</v>
      </c>
      <c r="L45">
        <f>SUMIF(AR2008_PeakProj!$A$3:$A$14,SWA!$A$2,AR2008_PeakProj!J$3:J$14)</f>
        <v>278</v>
      </c>
      <c r="M45">
        <f>SUMIF(AR2008_PeakProj!$A$3:$A$14,SWA!$A$2,AR2008_PeakProj!K$3:K$14)</f>
        <v>287</v>
      </c>
      <c r="N45">
        <f>SUMIF(AR2008_PeakProj!$A$3:$A$14,SWA!$A$2,AR2008_PeakProj!L$3:L$14)</f>
        <v>293</v>
      </c>
      <c r="O45">
        <f>SUMIF(AR2008_PeakProj!$A$3:$A$14,SWA!$A$2,AR2008_PeakProj!M$3:M$14)</f>
        <v>300</v>
      </c>
      <c r="P45">
        <f>SUMIF(AR2008_PeakProj!$A$3:$A$14,SWA!$A$2,AR2008_PeakProj!N$3:N$14)</f>
        <v>304</v>
      </c>
      <c r="Q45">
        <f>SUMIF(AR2008_PeakProj!$A$3:$A$14,SWA!$A$2,AR2008_PeakProj!O$3:O$14)</f>
        <v>308</v>
      </c>
      <c r="R45">
        <f>SUMIF(AR2008_PeakProj!$A$3:$A$14,SWA!$A$2,AR2008_PeakProj!P$3:P$14)</f>
        <v>311</v>
      </c>
      <c r="S45">
        <f>SUMIF(AR2008_PeakProj!$A$3:$A$14,SWA!$A$2,AR2008_PeakProj!Q$3:Q$14)</f>
        <v>315</v>
      </c>
      <c r="T45">
        <f>SUMIF(AR2008_PeakProj!$A$3:$A$14,SWA!$A$2,AR2008_PeakProj!R$3:R$14)</f>
        <v>319</v>
      </c>
      <c r="U45">
        <f>SUMIF(AR2008_PeakProj!$A$3:$A$14,SWA!$A$2,AR2008_PeakProj!S$3:S$14)</f>
        <v>323</v>
      </c>
    </row>
    <row r="46" spans="1:27" x14ac:dyDescent="0.2">
      <c r="A46" s="1" t="s">
        <v>11</v>
      </c>
      <c r="B46" s="1" t="s">
        <v>12</v>
      </c>
      <c r="E46" s="18">
        <f>E45/D45-1</f>
        <v>4.4117647058823595E-2</v>
      </c>
      <c r="F46" s="18">
        <f t="shared" ref="F46:U46" si="19">F45/E45-1</f>
        <v>4.6948356807511749E-2</v>
      </c>
      <c r="G46" s="18">
        <f t="shared" si="19"/>
        <v>4.4843049327354167E-2</v>
      </c>
      <c r="H46" s="18">
        <f t="shared" si="19"/>
        <v>5.1502145922746712E-2</v>
      </c>
      <c r="I46" s="18">
        <f t="shared" si="19"/>
        <v>4.081632653061229E-2</v>
      </c>
      <c r="J46" s="18">
        <f t="shared" si="19"/>
        <v>3.529411764705892E-2</v>
      </c>
      <c r="K46" s="18">
        <f t="shared" si="19"/>
        <v>2.6515151515151603E-2</v>
      </c>
      <c r="L46" s="18">
        <f t="shared" si="19"/>
        <v>2.583025830258312E-2</v>
      </c>
      <c r="M46" s="18">
        <f t="shared" si="19"/>
        <v>3.2374100719424481E-2</v>
      </c>
      <c r="N46" s="18">
        <f t="shared" si="19"/>
        <v>2.0905923344947785E-2</v>
      </c>
      <c r="O46" s="18">
        <f t="shared" si="19"/>
        <v>2.3890784982935065E-2</v>
      </c>
      <c r="P46" s="18">
        <f t="shared" si="19"/>
        <v>1.3333333333333419E-2</v>
      </c>
      <c r="Q46" s="18">
        <f t="shared" si="19"/>
        <v>1.3157894736842035E-2</v>
      </c>
      <c r="R46" s="18">
        <f t="shared" si="19"/>
        <v>9.7402597402598268E-3</v>
      </c>
      <c r="S46" s="18">
        <f t="shared" si="19"/>
        <v>1.2861736334405238E-2</v>
      </c>
      <c r="T46" s="18">
        <f t="shared" si="19"/>
        <v>1.2698412698412653E-2</v>
      </c>
      <c r="U46" s="18">
        <f t="shared" si="19"/>
        <v>1.2539184952978122E-2</v>
      </c>
    </row>
    <row r="47" spans="1:27" ht="15" x14ac:dyDescent="0.25">
      <c r="A47" s="1" t="s">
        <v>39</v>
      </c>
      <c r="B47" s="1" t="s">
        <v>10</v>
      </c>
      <c r="C47">
        <f>SUMIF(PoolPlan_PeakProj!$A$25:$A$36,SWA!$A$2,PoolPlan_PeakProj!C$25:C$36)</f>
        <v>194</v>
      </c>
      <c r="D47">
        <f>SUMIF(PoolPlan_PeakProj!$A$25:$A$36,SWA!$A$2,PoolPlan_PeakProj!D$25:D$36)</f>
        <v>204</v>
      </c>
      <c r="E47">
        <f>SUMIF(PoolPlan_PeakProj!$A$25:$A$36,SWA!$A$2,PoolPlan_PeakProj!E$25:E$36)</f>
        <v>213</v>
      </c>
      <c r="F47">
        <f>SUMIF(PoolPlan_PeakProj!$A$25:$A$36,SWA!$A$2,PoolPlan_PeakProj!F$25:F$36)</f>
        <v>223</v>
      </c>
      <c r="G47">
        <f>SUMIF(PoolPlan_PeakProj!$A$25:$A$36,SWA!$A$2,PoolPlan_PeakProj!G$25:G$36)</f>
        <v>233</v>
      </c>
      <c r="H47">
        <f>SUMIF(PoolPlan_PeakProj!$A$25:$A$36,SWA!$A$2,PoolPlan_PeakProj!H$25:H$36)</f>
        <v>245</v>
      </c>
      <c r="I47">
        <f>SUMIF(PoolPlan_PeakProj!$A$25:$A$36,SWA!$A$2,PoolPlan_PeakProj!I$25:I$36)</f>
        <v>255</v>
      </c>
      <c r="J47">
        <f>SUMIF(PoolPlan_PeakProj!$A$25:$A$36,SWA!$A$2,PoolPlan_PeakProj!J$25:J$36)</f>
        <v>264</v>
      </c>
      <c r="K47">
        <f>SUMIF(PoolPlan_PeakProj!$A$25:$A$36,SWA!$A$2,PoolPlan_PeakProj!K$25:K$36)</f>
        <v>271</v>
      </c>
      <c r="L47">
        <f>SUMIF(PoolPlan_PeakProj!$A$25:$A$36,SWA!$A$2,PoolPlan_PeakProj!L$25:L$36)</f>
        <v>278</v>
      </c>
      <c r="M47">
        <f>SUMIF(PoolPlan_PeakProj!$A$25:$A$36,SWA!$A$2,PoolPlan_PeakProj!M$25:M$36)</f>
        <v>287</v>
      </c>
      <c r="N47">
        <f>SUMIF(PoolPlan_PeakProj!$A$25:$A$36,SWA!$A$2,PoolPlan_PeakProj!N$25:N$36)</f>
        <v>293</v>
      </c>
      <c r="O47">
        <f>SUMIF(PoolPlan_PeakProj!$A$25:$A$36,SWA!$A$2,PoolPlan_PeakProj!O$25:O$36)</f>
        <v>300</v>
      </c>
      <c r="P47">
        <f>SUMIF(PoolPlan_PeakProj!$A$25:$A$36,SWA!$A$2,PoolPlan_PeakProj!P$25:P$36)</f>
        <v>304</v>
      </c>
      <c r="Q47">
        <f>SUMIF(PoolPlan_PeakProj!$A$25:$A$36,SWA!$A$2,PoolPlan_PeakProj!Q$25:Q$36)</f>
        <v>308</v>
      </c>
      <c r="R47">
        <f>SUMIF(PoolPlan_PeakProj!$A$25:$A$36,SWA!$A$2,PoolPlan_PeakProj!R$25:R$36)</f>
        <v>311</v>
      </c>
      <c r="S47">
        <f>SUMIF(PoolPlan_PeakProj!$A$25:$A$36,SWA!$A$2,PoolPlan_PeakProj!S$25:S$36)</f>
        <v>315</v>
      </c>
      <c r="T47">
        <f>SUMIF(PoolPlan_PeakProj!$A$25:$A$36,SWA!$A$2,PoolPlan_PeakProj!T$25:T$36)</f>
        <v>319</v>
      </c>
      <c r="U47">
        <f>SUMIF(PoolPlan_PeakProj!$A$25:$A$36,SWA!$A$2,PoolPlan_PeakProj!U$25:U$36)</f>
        <v>323</v>
      </c>
    </row>
    <row r="48" spans="1:27" x14ac:dyDescent="0.2">
      <c r="A48" s="1" t="s">
        <v>11</v>
      </c>
      <c r="B48" s="1"/>
      <c r="D48" s="18">
        <f>D47/C47-1</f>
        <v>5.1546391752577359E-2</v>
      </c>
      <c r="E48" s="18">
        <f t="shared" ref="E48:U48" si="20">E47/D47-1</f>
        <v>4.4117647058823595E-2</v>
      </c>
      <c r="F48" s="18">
        <f t="shared" si="20"/>
        <v>4.6948356807511749E-2</v>
      </c>
      <c r="G48" s="18">
        <f t="shared" si="20"/>
        <v>4.4843049327354167E-2</v>
      </c>
      <c r="H48" s="18">
        <f t="shared" si="20"/>
        <v>5.1502145922746712E-2</v>
      </c>
      <c r="I48" s="18">
        <f t="shared" si="20"/>
        <v>4.081632653061229E-2</v>
      </c>
      <c r="J48" s="18">
        <f t="shared" si="20"/>
        <v>3.529411764705892E-2</v>
      </c>
      <c r="K48" s="18">
        <f t="shared" si="20"/>
        <v>2.6515151515151603E-2</v>
      </c>
      <c r="L48" s="18">
        <f t="shared" si="20"/>
        <v>2.583025830258312E-2</v>
      </c>
      <c r="M48" s="18">
        <f t="shared" si="20"/>
        <v>3.2374100719424481E-2</v>
      </c>
      <c r="N48" s="18">
        <f t="shared" si="20"/>
        <v>2.0905923344947785E-2</v>
      </c>
      <c r="O48" s="18">
        <f t="shared" si="20"/>
        <v>2.3890784982935065E-2</v>
      </c>
      <c r="P48" s="18">
        <f t="shared" si="20"/>
        <v>1.3333333333333419E-2</v>
      </c>
      <c r="Q48" s="18">
        <f t="shared" si="20"/>
        <v>1.3157894736842035E-2</v>
      </c>
      <c r="R48" s="18">
        <f t="shared" si="20"/>
        <v>9.7402597402598268E-3</v>
      </c>
      <c r="S48" s="18">
        <f t="shared" si="20"/>
        <v>1.2861736334405238E-2</v>
      </c>
      <c r="T48" s="18">
        <f t="shared" si="20"/>
        <v>1.2698412698412653E-2</v>
      </c>
      <c r="U48" s="18">
        <f t="shared" si="20"/>
        <v>1.2539184952978122E-2</v>
      </c>
    </row>
    <row r="49" spans="1:20" x14ac:dyDescent="0.2">
      <c r="A49" s="1" t="s">
        <v>70</v>
      </c>
      <c r="B49" s="1" t="s">
        <v>12</v>
      </c>
      <c r="D49" s="18">
        <f t="shared" ref="D49:T49" si="21">D40/(D45*8.76)</f>
        <v>0.64576058733995878</v>
      </c>
      <c r="E49" s="18">
        <f t="shared" si="21"/>
        <v>0.64580787617638868</v>
      </c>
      <c r="F49" s="18">
        <f t="shared" si="21"/>
        <v>0.64602657820914466</v>
      </c>
      <c r="G49" s="18">
        <f t="shared" si="21"/>
        <v>0.64622650753522648</v>
      </c>
      <c r="H49" s="18">
        <f t="shared" si="21"/>
        <v>0.64579256360078285</v>
      </c>
      <c r="I49" s="18">
        <f t="shared" si="21"/>
        <v>0.64598442116572663</v>
      </c>
      <c r="J49" s="18">
        <f t="shared" si="21"/>
        <v>0.64601494396014947</v>
      </c>
      <c r="K49" s="18">
        <f t="shared" si="21"/>
        <v>0.64617769465365882</v>
      </c>
      <c r="L49" s="18">
        <f t="shared" si="21"/>
        <v>0.64592161886928823</v>
      </c>
      <c r="M49" s="18">
        <f t="shared" si="21"/>
        <v>0.64595166499610202</v>
      </c>
      <c r="N49" s="18">
        <f t="shared" si="21"/>
        <v>0.64597067028223232</v>
      </c>
      <c r="O49" s="18">
        <f t="shared" si="21"/>
        <v>0.64611872146118721</v>
      </c>
      <c r="P49" s="18">
        <f t="shared" si="21"/>
        <v>0.64587839461667873</v>
      </c>
      <c r="Q49" s="18">
        <f t="shared" si="21"/>
        <v>0.64601494396014947</v>
      </c>
      <c r="R49" s="18">
        <f t="shared" si="21"/>
        <v>0.64602328620299809</v>
      </c>
      <c r="S49" s="18">
        <f t="shared" si="21"/>
        <v>0.64615496122345439</v>
      </c>
      <c r="T49" s="18">
        <f t="shared" si="21"/>
        <v>0.6459254805971858</v>
      </c>
    </row>
    <row r="50" spans="1:20" x14ac:dyDescent="0.2">
      <c r="A50" s="1" t="s">
        <v>41</v>
      </c>
      <c r="C50" s="18">
        <f t="shared" ref="C50:T50" si="22">C42/(C47*8.76)</f>
        <v>0.64609518429600332</v>
      </c>
      <c r="D50" s="18">
        <f t="shared" si="22"/>
        <v>0.64576058733995878</v>
      </c>
      <c r="E50" s="18">
        <f t="shared" si="22"/>
        <v>0.64580787617638868</v>
      </c>
      <c r="F50" s="18">
        <f t="shared" si="22"/>
        <v>0.64602657820914466</v>
      </c>
      <c r="G50" s="18">
        <f t="shared" si="22"/>
        <v>0.64622650753522648</v>
      </c>
      <c r="H50" s="18">
        <f t="shared" si="22"/>
        <v>0.64579256360078285</v>
      </c>
      <c r="I50" s="18">
        <f t="shared" si="22"/>
        <v>0.64598442116572663</v>
      </c>
      <c r="J50" s="18">
        <f t="shared" si="22"/>
        <v>0.64601494396014947</v>
      </c>
      <c r="K50" s="18">
        <f t="shared" si="22"/>
        <v>0.64617769465365882</v>
      </c>
      <c r="L50" s="18">
        <f t="shared" si="22"/>
        <v>0.64592161886928823</v>
      </c>
      <c r="M50" s="18">
        <f t="shared" si="22"/>
        <v>0.64595166499610202</v>
      </c>
      <c r="N50" s="18">
        <f t="shared" si="22"/>
        <v>0.64597067028223232</v>
      </c>
      <c r="O50" s="18">
        <f t="shared" si="22"/>
        <v>0.64611872146118721</v>
      </c>
      <c r="P50" s="18">
        <f t="shared" si="22"/>
        <v>0.64587839461667873</v>
      </c>
      <c r="Q50" s="18">
        <f t="shared" si="22"/>
        <v>0.64601494396014947</v>
      </c>
      <c r="R50" s="18">
        <f t="shared" si="22"/>
        <v>0.64602328620299809</v>
      </c>
      <c r="S50" s="18">
        <f t="shared" si="22"/>
        <v>0.64615496122345439</v>
      </c>
      <c r="T50" s="18">
        <f t="shared" si="22"/>
        <v>0.6459254805971858</v>
      </c>
    </row>
    <row r="51" spans="1:20" x14ac:dyDescent="0.2">
      <c r="A51" s="1" t="s">
        <v>114</v>
      </c>
      <c r="C51" s="18"/>
      <c r="D51" s="16">
        <f>D50/C50-1</f>
        <v>-5.1787563841565465E-4</v>
      </c>
      <c r="E51" s="16">
        <f t="shared" ref="E51:T51" si="23">E50/D50-1</f>
        <v>7.3229672663543965E-5</v>
      </c>
      <c r="F51" s="16">
        <f t="shared" si="23"/>
        <v>3.3864875425626551E-4</v>
      </c>
      <c r="G51" s="16">
        <f t="shared" si="23"/>
        <v>3.0947538820469411E-4</v>
      </c>
      <c r="H51" s="16">
        <f t="shared" si="23"/>
        <v>-6.7150438643992505E-4</v>
      </c>
      <c r="I51" s="16">
        <f t="shared" si="23"/>
        <v>2.9708853238252786E-4</v>
      </c>
      <c r="J51" s="16">
        <f t="shared" si="23"/>
        <v>4.7250047249924876E-5</v>
      </c>
      <c r="K51" s="16">
        <f t="shared" si="23"/>
        <v>2.5193023014558058E-4</v>
      </c>
      <c r="L51" s="16">
        <f t="shared" si="23"/>
        <v>-3.9629313498334984E-4</v>
      </c>
      <c r="M51" s="16">
        <f t="shared" si="23"/>
        <v>4.651667622823652E-5</v>
      </c>
      <c r="N51" s="16">
        <f t="shared" si="23"/>
        <v>2.9422148993818453E-5</v>
      </c>
      <c r="O51" s="16">
        <f t="shared" si="23"/>
        <v>2.2919179734626205E-4</v>
      </c>
      <c r="P51" s="16">
        <f t="shared" si="23"/>
        <v>-3.7195462153605252E-4</v>
      </c>
      <c r="Q51" s="16">
        <f t="shared" si="23"/>
        <v>2.1141649048628253E-4</v>
      </c>
      <c r="R51" s="16">
        <f t="shared" si="23"/>
        <v>1.2913389893842719E-5</v>
      </c>
      <c r="S51" s="16">
        <f t="shared" si="23"/>
        <v>2.0382395382401164E-4</v>
      </c>
      <c r="T51" s="16">
        <f t="shared" si="23"/>
        <v>-3.5514797539293319E-4</v>
      </c>
    </row>
    <row r="52" spans="1:20" ht="15" x14ac:dyDescent="0.25">
      <c r="A52" s="1" t="s">
        <v>84</v>
      </c>
      <c r="B52" s="1" t="s">
        <v>10</v>
      </c>
      <c r="C52" s="38">
        <f>VLOOKUP($A$2,AR2008_Stats!$B$4:$O$15,AR2008_Stats!E$1,FALSE)</f>
        <v>50</v>
      </c>
    </row>
    <row r="53" spans="1:20" ht="15" x14ac:dyDescent="0.25">
      <c r="A53" s="1" t="s">
        <v>83</v>
      </c>
      <c r="B53" s="1" t="s">
        <v>10</v>
      </c>
      <c r="C53" s="74">
        <f>VLOOKUP($A$2,'[1]Total Existing Capacity'!$A$3:$J$14,5,FALSE)</f>
        <v>62</v>
      </c>
    </row>
    <row r="55" spans="1:20" x14ac:dyDescent="0.2">
      <c r="A55" s="3" t="s">
        <v>71</v>
      </c>
    </row>
    <row r="56" spans="1:20" x14ac:dyDescent="0.2">
      <c r="A56" s="2" t="s">
        <v>72</v>
      </c>
    </row>
    <row r="57" spans="1:20" x14ac:dyDescent="0.2">
      <c r="A57" s="2" t="s">
        <v>73</v>
      </c>
    </row>
    <row r="59" spans="1:20" x14ac:dyDescent="0.2">
      <c r="A59" s="3" t="s">
        <v>80</v>
      </c>
    </row>
    <row r="60" spans="1:20" ht="15" x14ac:dyDescent="0.25">
      <c r="A60" t="s">
        <v>13</v>
      </c>
      <c r="B60" s="2" t="s">
        <v>97</v>
      </c>
    </row>
    <row r="61" spans="1:20" ht="15" x14ac:dyDescent="0.25">
      <c r="A61" t="s">
        <v>14</v>
      </c>
      <c r="B61" s="2" t="s">
        <v>98</v>
      </c>
    </row>
    <row r="62" spans="1:20" ht="15" x14ac:dyDescent="0.25">
      <c r="A62" t="s">
        <v>15</v>
      </c>
      <c r="B62" s="2" t="s">
        <v>32</v>
      </c>
    </row>
    <row r="63" spans="1:20" ht="15" x14ac:dyDescent="0.25">
      <c r="A63" t="s">
        <v>16</v>
      </c>
      <c r="B63" s="2" t="s">
        <v>99</v>
      </c>
    </row>
    <row r="64" spans="1:20" ht="15" x14ac:dyDescent="0.25">
      <c r="A64" t="s">
        <v>17</v>
      </c>
      <c r="B64" s="2" t="s">
        <v>100</v>
      </c>
    </row>
    <row r="65" spans="1:2" ht="15" x14ac:dyDescent="0.25">
      <c r="A65" t="s">
        <v>18</v>
      </c>
      <c r="B65" s="2" t="s">
        <v>101</v>
      </c>
    </row>
    <row r="66" spans="1:2" ht="15" x14ac:dyDescent="0.25">
      <c r="A66" t="s">
        <v>19</v>
      </c>
      <c r="B66" s="2" t="s">
        <v>102</v>
      </c>
    </row>
    <row r="67" spans="1:2" ht="15" x14ac:dyDescent="0.25">
      <c r="A67" t="s">
        <v>21</v>
      </c>
      <c r="B67" s="2" t="s">
        <v>103</v>
      </c>
    </row>
    <row r="68" spans="1:2" ht="15" x14ac:dyDescent="0.25">
      <c r="A68" t="s">
        <v>22</v>
      </c>
      <c r="B68" s="2" t="s">
        <v>104</v>
      </c>
    </row>
    <row r="69" spans="1:2" ht="15" x14ac:dyDescent="0.25">
      <c r="A69" t="s">
        <v>23</v>
      </c>
      <c r="B69" s="2" t="s">
        <v>105</v>
      </c>
    </row>
    <row r="70" spans="1:2" ht="15" x14ac:dyDescent="0.25">
      <c r="A70" t="s">
        <v>24</v>
      </c>
      <c r="B70" s="2" t="s">
        <v>106</v>
      </c>
    </row>
    <row r="71" spans="1:2" ht="15" x14ac:dyDescent="0.25">
      <c r="A71" t="s">
        <v>20</v>
      </c>
      <c r="B71" s="2" t="s">
        <v>107</v>
      </c>
    </row>
  </sheetData>
  <dataValidations count="4">
    <dataValidation type="list" allowBlank="1" showInputMessage="1" showErrorMessage="1" sqref="A2">
      <formula1>$A$60:$A$71</formula1>
    </dataValidation>
    <dataValidation type="list" allowBlank="1" showInputMessage="1" showErrorMessage="1" sqref="B3">
      <formula1>$A$56:$A$57</formula1>
    </dataValidation>
    <dataValidation type="list" allowBlank="1" showInputMessage="1" showErrorMessage="1" sqref="B13:B17">
      <formula1>$B$60:$B$72</formula1>
    </dataValidation>
    <dataValidation type="list" allowBlank="1" showInputMessage="1" showErrorMessage="1" sqref="B18">
      <formula1>$B$60:$B$71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ANG</vt:lpstr>
      <vt:lpstr>BOT</vt:lpstr>
      <vt:lpstr>DRC</vt:lpstr>
      <vt:lpstr>LES</vt:lpstr>
      <vt:lpstr>MAL</vt:lpstr>
      <vt:lpstr>MOZ</vt:lpstr>
      <vt:lpstr>NAM</vt:lpstr>
      <vt:lpstr>SAF</vt:lpstr>
      <vt:lpstr>SWA</vt:lpstr>
      <vt:lpstr>TAN</vt:lpstr>
      <vt:lpstr>ZAM</vt:lpstr>
      <vt:lpstr>ZIM</vt:lpstr>
      <vt:lpstr>MSG_Demand</vt:lpstr>
      <vt:lpstr>AR2008_EnergyProj</vt:lpstr>
      <vt:lpstr>AR2008_PeakProj</vt:lpstr>
      <vt:lpstr>PoolPlan_EnergyProj</vt:lpstr>
      <vt:lpstr>AR2008_Stats</vt:lpstr>
      <vt:lpstr>DemandBreakdown</vt:lpstr>
      <vt:lpstr>For model</vt:lpstr>
      <vt:lpstr>PoolPlan_PeakProj</vt:lpstr>
      <vt:lpstr>Comparison</vt:lpstr>
      <vt:lpstr>SAAvgCost</vt:lpstr>
    </vt:vector>
  </TitlesOfParts>
  <Company>University of Cape Town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 Merven</cp:lastModifiedBy>
  <dcterms:created xsi:type="dcterms:W3CDTF">2009-11-05T12:31:13Z</dcterms:created>
  <dcterms:modified xsi:type="dcterms:W3CDTF">2012-12-19T15:12:26Z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Code">
    <vt:r8>897191882133483</vt:r8>
  </property>
</Properties>
</file>